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0" yWindow="0" windowWidth="19320" windowHeight="11640" tabRatio="617"/>
  </bookViews>
  <sheets>
    <sheet name="Site Data" sheetId="1" r:id="rId1"/>
    <sheet name="Public ROW" sheetId="17" r:id="rId2"/>
    <sheet name="D.A. 1" sheetId="2" r:id="rId3"/>
    <sheet name="D.A. 2" sheetId="13" r:id="rId4"/>
    <sheet name="D.A. 3" sheetId="14" r:id="rId5"/>
    <sheet name="D.A. 4" sheetId="15" r:id="rId6"/>
    <sheet name="D.A. 5" sheetId="16" r:id="rId7"/>
    <sheet name="D.A. 6" sheetId="18" r:id="rId8"/>
    <sheet name="D.A. 7" sheetId="19" r:id="rId9"/>
    <sheet name="D.A. 8" sheetId="20" r:id="rId10"/>
    <sheet name="D.A. 9" sheetId="21" r:id="rId11"/>
    <sheet name="D.A. 10" sheetId="22" r:id="rId12"/>
    <sheet name="Compliance" sheetId="12" r:id="rId13"/>
    <sheet name="Channel and Flood Protection" sheetId="11" r:id="rId14"/>
  </sheets>
  <definedNames>
    <definedName name="_xlnm._FilterDatabase" localSheetId="2" hidden="1">'D.A. 1'!#REF!</definedName>
    <definedName name="_xlnm._FilterDatabase" localSheetId="3" hidden="1">'D.A. 2'!#REF!</definedName>
    <definedName name="_xlnm._FilterDatabase" localSheetId="4" hidden="1">'D.A. 3'!#REF!</definedName>
    <definedName name="_xlnm._FilterDatabase" localSheetId="5" hidden="1">'D.A. 4'!#REF!</definedName>
    <definedName name="_xlnm._FilterDatabase" localSheetId="6" hidden="1">'D.A. 5'!#REF!</definedName>
    <definedName name="_xlnm.Print_Area" localSheetId="2">'D.A. 1'!$A$1:$R$68</definedName>
    <definedName name="_xlnm.Print_Area" localSheetId="3">'D.A. 2'!$A$1:$X$132</definedName>
    <definedName name="_xlnm.Print_Area" localSheetId="4">'D.A. 3'!$A$1:$X$132</definedName>
    <definedName name="_xlnm.Print_Area" localSheetId="5">'D.A. 4'!$A$1:$X$132</definedName>
    <definedName name="_xlnm.Print_Area" localSheetId="6">'D.A. 5'!$A$1:$X$132</definedName>
    <definedName name="solver_cvg" localSheetId="13" hidden="1">0.0001</definedName>
    <definedName name="solver_drv" localSheetId="13" hidden="1">1</definedName>
    <definedName name="solver_est" localSheetId="13" hidden="1">1</definedName>
    <definedName name="solver_itr" localSheetId="13" hidden="1">100</definedName>
    <definedName name="solver_lhs1" localSheetId="13" hidden="1">'Channel and Flood Protection'!#REF!</definedName>
    <definedName name="solver_lin" localSheetId="13" hidden="1">2</definedName>
    <definedName name="solver_neg" localSheetId="13" hidden="1">2</definedName>
    <definedName name="solver_num" localSheetId="13" hidden="1">0</definedName>
    <definedName name="solver_nwt" localSheetId="13" hidden="1">1</definedName>
    <definedName name="solver_pre" localSheetId="13" hidden="1">0.000001</definedName>
    <definedName name="solver_rel1" localSheetId="13" hidden="1">2</definedName>
    <definedName name="solver_rhs1" localSheetId="13" hidden="1">'Channel and Flood Protection'!#REF!</definedName>
    <definedName name="solver_scl" localSheetId="13" hidden="1">2</definedName>
    <definedName name="solver_sho" localSheetId="13" hidden="1">2</definedName>
    <definedName name="solver_tim" localSheetId="13" hidden="1">100</definedName>
    <definedName name="solver_tol" localSheetId="13" hidden="1">0.05</definedName>
    <definedName name="solver_typ" localSheetId="13" hidden="1">1</definedName>
    <definedName name="solver_val" localSheetId="13" hidden="1">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3" i="11" l="1"/>
  <c r="D169" i="11"/>
  <c r="D155" i="11"/>
  <c r="D141" i="11"/>
  <c r="D127" i="11"/>
  <c r="E184" i="11" l="1"/>
  <c r="F184" i="11" s="1"/>
  <c r="E170" i="11"/>
  <c r="E156" i="11"/>
  <c r="F156" i="11" s="1"/>
  <c r="E142" i="11"/>
  <c r="E128" i="11"/>
  <c r="F128" i="11" s="1"/>
  <c r="D125" i="11"/>
  <c r="D123" i="11"/>
  <c r="D139" i="11"/>
  <c r="D137" i="11"/>
  <c r="D153" i="11"/>
  <c r="D151" i="11"/>
  <c r="D167" i="11"/>
  <c r="D165" i="11"/>
  <c r="D181" i="11"/>
  <c r="D179" i="11"/>
  <c r="F186" i="11"/>
  <c r="E186" i="11"/>
  <c r="D186" i="11"/>
  <c r="F172" i="11"/>
  <c r="E172" i="11"/>
  <c r="D172" i="11"/>
  <c r="F170" i="11"/>
  <c r="F158" i="11"/>
  <c r="E158" i="11"/>
  <c r="D158" i="11"/>
  <c r="F144" i="11"/>
  <c r="E144" i="11"/>
  <c r="D144" i="11"/>
  <c r="F142" i="11"/>
  <c r="F130" i="11"/>
  <c r="E130" i="11"/>
  <c r="D130" i="11"/>
  <c r="C44" i="11"/>
  <c r="C43" i="11"/>
  <c r="C40" i="11"/>
  <c r="C39" i="11"/>
  <c r="C36" i="11"/>
  <c r="C35" i="11"/>
  <c r="C32" i="11"/>
  <c r="C31" i="11"/>
  <c r="C28" i="11"/>
  <c r="C27" i="11"/>
  <c r="C45" i="11"/>
  <c r="C41" i="11"/>
  <c r="C37" i="11"/>
  <c r="C33" i="11"/>
  <c r="C29" i="11"/>
  <c r="B210" i="12"/>
  <c r="B206" i="12"/>
  <c r="B118" i="12"/>
  <c r="B111" i="12"/>
  <c r="B109" i="12"/>
  <c r="B108" i="12"/>
  <c r="B107" i="12"/>
  <c r="B106" i="12"/>
  <c r="B138" i="12"/>
  <c r="B131" i="12"/>
  <c r="B129" i="12"/>
  <c r="B128" i="12"/>
  <c r="B127" i="12"/>
  <c r="B126" i="12"/>
  <c r="B158" i="12"/>
  <c r="B151" i="12"/>
  <c r="B149" i="12"/>
  <c r="B148" i="12"/>
  <c r="B147" i="12"/>
  <c r="B146" i="12"/>
  <c r="B178" i="12"/>
  <c r="B171" i="12"/>
  <c r="B169" i="12"/>
  <c r="B168" i="12"/>
  <c r="B167" i="12"/>
  <c r="B166" i="12"/>
  <c r="B198" i="12"/>
  <c r="B191" i="12"/>
  <c r="B189" i="12"/>
  <c r="B188" i="12"/>
  <c r="B187" i="12"/>
  <c r="B186" i="12"/>
  <c r="A202" i="12"/>
  <c r="A201" i="12"/>
  <c r="A200" i="12"/>
  <c r="A199" i="12"/>
  <c r="A182" i="12"/>
  <c r="A181" i="12"/>
  <c r="A180" i="12"/>
  <c r="A179" i="12"/>
  <c r="A162" i="12"/>
  <c r="A161" i="12"/>
  <c r="A160" i="12"/>
  <c r="A159" i="12"/>
  <c r="A142" i="12"/>
  <c r="A141" i="12"/>
  <c r="A140" i="12"/>
  <c r="A139" i="12"/>
  <c r="B219" i="12"/>
  <c r="B220" i="12"/>
  <c r="B221" i="12"/>
  <c r="B222" i="12"/>
  <c r="B224" i="12"/>
  <c r="A122" i="12"/>
  <c r="A121" i="12"/>
  <c r="A120" i="12"/>
  <c r="A119" i="12"/>
  <c r="F66" i="22"/>
  <c r="D66" i="22"/>
  <c r="B66" i="22"/>
  <c r="AO63" i="22"/>
  <c r="AN63" i="22"/>
  <c r="AM63" i="22"/>
  <c r="AL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T63" i="22"/>
  <c r="P63" i="22"/>
  <c r="A63" i="22"/>
  <c r="AO61" i="22"/>
  <c r="AN61" i="22"/>
  <c r="AM61" i="22"/>
  <c r="AL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T61" i="22"/>
  <c r="P61" i="22"/>
  <c r="A61" i="22"/>
  <c r="AO59" i="22"/>
  <c r="AN59" i="22"/>
  <c r="AM59" i="22"/>
  <c r="AL59" i="22"/>
  <c r="AK59" i="22"/>
  <c r="AJ59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T59" i="22"/>
  <c r="H59" i="22"/>
  <c r="A59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T57" i="22"/>
  <c r="R57" i="22"/>
  <c r="H57" i="22"/>
  <c r="A57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T55" i="22"/>
  <c r="R55" i="22"/>
  <c r="H55" i="22"/>
  <c r="A55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T53" i="22"/>
  <c r="H53" i="22"/>
  <c r="A53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T51" i="22"/>
  <c r="H51" i="22"/>
  <c r="A51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T49" i="22"/>
  <c r="R49" i="22"/>
  <c r="H49" i="22"/>
  <c r="A49" i="22"/>
  <c r="AO47" i="22"/>
  <c r="AN47" i="22"/>
  <c r="AM47" i="22"/>
  <c r="AL47" i="22"/>
  <c r="AK47" i="22"/>
  <c r="AJ47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T47" i="22"/>
  <c r="R47" i="22"/>
  <c r="H47" i="22"/>
  <c r="A47" i="22"/>
  <c r="AO45" i="22"/>
  <c r="AN45" i="22"/>
  <c r="AM45" i="22"/>
  <c r="AL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T45" i="22"/>
  <c r="H45" i="22"/>
  <c r="A45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T43" i="22"/>
  <c r="H43" i="22"/>
  <c r="A43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T41" i="22"/>
  <c r="R41" i="22"/>
  <c r="H41" i="22"/>
  <c r="A41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T39" i="22"/>
  <c r="R39" i="22"/>
  <c r="H39" i="22"/>
  <c r="A39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T37" i="22"/>
  <c r="R37" i="22"/>
  <c r="H37" i="22"/>
  <c r="A37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T35" i="22"/>
  <c r="R35" i="22"/>
  <c r="H35" i="22"/>
  <c r="A35" i="22"/>
  <c r="AO33" i="22"/>
  <c r="AN33" i="22"/>
  <c r="AM33" i="22"/>
  <c r="AL33" i="22"/>
  <c r="AK33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T33" i="22"/>
  <c r="R33" i="22"/>
  <c r="H33" i="22"/>
  <c r="A33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T31" i="22"/>
  <c r="H31" i="22"/>
  <c r="A31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T29" i="22"/>
  <c r="H29" i="22"/>
  <c r="A29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T27" i="22"/>
  <c r="H27" i="22"/>
  <c r="A27" i="22"/>
  <c r="AO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T25" i="22"/>
  <c r="H25" i="22"/>
  <c r="A25" i="22"/>
  <c r="AO23" i="22"/>
  <c r="AO67" i="22" s="1"/>
  <c r="L59" i="22" s="1"/>
  <c r="AN23" i="22"/>
  <c r="AN67" i="22" s="1"/>
  <c r="L57" i="22" s="1"/>
  <c r="AM23" i="22"/>
  <c r="AM67" i="22" s="1"/>
  <c r="L55" i="22" s="1"/>
  <c r="AL23" i="22"/>
  <c r="AL67" i="22" s="1"/>
  <c r="L53" i="22" s="1"/>
  <c r="AK23" i="22"/>
  <c r="AK67" i="22" s="1"/>
  <c r="L51" i="22" s="1"/>
  <c r="AJ23" i="22"/>
  <c r="AJ67" i="22" s="1"/>
  <c r="L49" i="22" s="1"/>
  <c r="AI23" i="22"/>
  <c r="AI67" i="22" s="1"/>
  <c r="L47" i="22" s="1"/>
  <c r="AH23" i="22"/>
  <c r="AH67" i="22" s="1"/>
  <c r="L45" i="22" s="1"/>
  <c r="AG23" i="22"/>
  <c r="AG67" i="22" s="1"/>
  <c r="L43" i="22" s="1"/>
  <c r="AF23" i="22"/>
  <c r="AF67" i="22" s="1"/>
  <c r="L41" i="22" s="1"/>
  <c r="AE23" i="22"/>
  <c r="AE67" i="22" s="1"/>
  <c r="L39" i="22" s="1"/>
  <c r="AD23" i="22"/>
  <c r="AD67" i="22" s="1"/>
  <c r="L37" i="22" s="1"/>
  <c r="AC23" i="22"/>
  <c r="AC67" i="22" s="1"/>
  <c r="L35" i="22" s="1"/>
  <c r="AB23" i="22"/>
  <c r="AB67" i="22" s="1"/>
  <c r="L33" i="22" s="1"/>
  <c r="AA23" i="22"/>
  <c r="AA67" i="22" s="1"/>
  <c r="L31" i="22" s="1"/>
  <c r="Z23" i="22"/>
  <c r="Z67" i="22" s="1"/>
  <c r="L29" i="22" s="1"/>
  <c r="Y23" i="22"/>
  <c r="Y67" i="22" s="1"/>
  <c r="L27" i="22" s="1"/>
  <c r="X23" i="22"/>
  <c r="X67" i="22" s="1"/>
  <c r="L25" i="22" s="1"/>
  <c r="W23" i="22"/>
  <c r="W67" i="22" s="1"/>
  <c r="L23" i="22" s="1"/>
  <c r="T23" i="22"/>
  <c r="H23" i="22"/>
  <c r="H66" i="22" s="1"/>
  <c r="A23" i="22"/>
  <c r="B11" i="22"/>
  <c r="F8" i="22"/>
  <c r="F7" i="22"/>
  <c r="F9" i="22" s="1"/>
  <c r="F6" i="22"/>
  <c r="F66" i="21"/>
  <c r="D66" i="21"/>
  <c r="B66" i="21"/>
  <c r="AO63" i="21"/>
  <c r="AN63" i="21"/>
  <c r="AM63" i="21"/>
  <c r="AL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T63" i="21"/>
  <c r="P63" i="21"/>
  <c r="A63" i="21"/>
  <c r="AO61" i="21"/>
  <c r="AN61" i="21"/>
  <c r="AM61" i="21"/>
  <c r="AL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T61" i="21"/>
  <c r="P61" i="21"/>
  <c r="A61" i="21"/>
  <c r="AO59" i="21"/>
  <c r="AN59" i="21"/>
  <c r="AM59" i="21"/>
  <c r="AL59" i="21"/>
  <c r="AK59" i="21"/>
  <c r="AJ59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T59" i="21"/>
  <c r="H59" i="21"/>
  <c r="A59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T57" i="21"/>
  <c r="R57" i="21"/>
  <c r="H57" i="21"/>
  <c r="A57" i="21"/>
  <c r="AO55" i="21"/>
  <c r="AN55" i="21"/>
  <c r="AM55" i="21"/>
  <c r="AL55" i="21"/>
  <c r="AK55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T55" i="21"/>
  <c r="R55" i="21"/>
  <c r="H55" i="21"/>
  <c r="A55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T53" i="21"/>
  <c r="H53" i="21"/>
  <c r="M53" i="21" s="1"/>
  <c r="A53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T51" i="21"/>
  <c r="H51" i="21"/>
  <c r="A51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T49" i="21"/>
  <c r="R49" i="21"/>
  <c r="H49" i="21"/>
  <c r="A49" i="21"/>
  <c r="AO47" i="21"/>
  <c r="AN47" i="21"/>
  <c r="AM47" i="2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T47" i="21"/>
  <c r="R47" i="21"/>
  <c r="H47" i="21"/>
  <c r="A47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T45" i="21"/>
  <c r="H45" i="21"/>
  <c r="M45" i="21" s="1"/>
  <c r="A45" i="21"/>
  <c r="AO43" i="21"/>
  <c r="AN43" i="21"/>
  <c r="AM43" i="21"/>
  <c r="AL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T43" i="21"/>
  <c r="H43" i="21"/>
  <c r="A43" i="21"/>
  <c r="AO41" i="21"/>
  <c r="AN41" i="21"/>
  <c r="AM41" i="21"/>
  <c r="AL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T41" i="21"/>
  <c r="R41" i="21"/>
  <c r="H41" i="21"/>
  <c r="A41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T39" i="21"/>
  <c r="R39" i="21"/>
  <c r="H39" i="21"/>
  <c r="A39" i="21"/>
  <c r="AO37" i="21"/>
  <c r="AN37" i="21"/>
  <c r="AM37" i="21"/>
  <c r="AL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T37" i="21"/>
  <c r="R37" i="21"/>
  <c r="H37" i="21"/>
  <c r="A37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T35" i="21"/>
  <c r="R35" i="21"/>
  <c r="H35" i="21"/>
  <c r="A35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T33" i="21"/>
  <c r="R33" i="21"/>
  <c r="H33" i="21"/>
  <c r="A33" i="21"/>
  <c r="AO31" i="21"/>
  <c r="AN31" i="21"/>
  <c r="AM31" i="21"/>
  <c r="AL31" i="21"/>
  <c r="AK31" i="21"/>
  <c r="AJ31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T31" i="21"/>
  <c r="H31" i="21"/>
  <c r="A31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T29" i="21"/>
  <c r="H29" i="21"/>
  <c r="A29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T27" i="21"/>
  <c r="H27" i="21"/>
  <c r="A27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T25" i="21"/>
  <c r="H25" i="21"/>
  <c r="A25" i="21"/>
  <c r="AO23" i="21"/>
  <c r="AO67" i="21" s="1"/>
  <c r="L59" i="21" s="1"/>
  <c r="AN23" i="21"/>
  <c r="AN67" i="21" s="1"/>
  <c r="L57" i="21" s="1"/>
  <c r="AM23" i="21"/>
  <c r="AM67" i="21" s="1"/>
  <c r="L55" i="21" s="1"/>
  <c r="AL23" i="21"/>
  <c r="AL67" i="21" s="1"/>
  <c r="L53" i="21" s="1"/>
  <c r="AK23" i="21"/>
  <c r="AK67" i="21" s="1"/>
  <c r="L51" i="21" s="1"/>
  <c r="AJ23" i="21"/>
  <c r="AJ67" i="21" s="1"/>
  <c r="L49" i="21" s="1"/>
  <c r="AI23" i="21"/>
  <c r="AI67" i="21" s="1"/>
  <c r="L47" i="21" s="1"/>
  <c r="AH23" i="21"/>
  <c r="AH67" i="21" s="1"/>
  <c r="L45" i="21" s="1"/>
  <c r="AG23" i="21"/>
  <c r="AG67" i="21" s="1"/>
  <c r="L43" i="21" s="1"/>
  <c r="AF23" i="21"/>
  <c r="AF67" i="21" s="1"/>
  <c r="L41" i="21" s="1"/>
  <c r="AE23" i="21"/>
  <c r="AE67" i="21" s="1"/>
  <c r="L39" i="21" s="1"/>
  <c r="AD23" i="21"/>
  <c r="AD67" i="21" s="1"/>
  <c r="L37" i="21" s="1"/>
  <c r="AC23" i="21"/>
  <c r="AC67" i="21" s="1"/>
  <c r="L35" i="21" s="1"/>
  <c r="AB23" i="21"/>
  <c r="AB67" i="21" s="1"/>
  <c r="L33" i="21" s="1"/>
  <c r="AA23" i="21"/>
  <c r="AA67" i="21" s="1"/>
  <c r="L31" i="21" s="1"/>
  <c r="Z23" i="21"/>
  <c r="Z67" i="21" s="1"/>
  <c r="L29" i="21" s="1"/>
  <c r="Y23" i="21"/>
  <c r="Y67" i="21" s="1"/>
  <c r="L27" i="21" s="1"/>
  <c r="X23" i="21"/>
  <c r="X67" i="21" s="1"/>
  <c r="L25" i="21" s="1"/>
  <c r="W23" i="21"/>
  <c r="W67" i="21" s="1"/>
  <c r="L23" i="21" s="1"/>
  <c r="T23" i="21"/>
  <c r="H23" i="21"/>
  <c r="H66" i="21" s="1"/>
  <c r="A23" i="21"/>
  <c r="B11" i="21"/>
  <c r="F7" i="21" s="1"/>
  <c r="F8" i="21"/>
  <c r="F6" i="21"/>
  <c r="F9" i="21" s="1"/>
  <c r="F66" i="20"/>
  <c r="D66" i="20"/>
  <c r="B66" i="20"/>
  <c r="AO63" i="20"/>
  <c r="AN63" i="20"/>
  <c r="AM63" i="20"/>
  <c r="AL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T63" i="20"/>
  <c r="P63" i="20"/>
  <c r="A63" i="20"/>
  <c r="AO61" i="20"/>
  <c r="AN61" i="20"/>
  <c r="AM61" i="20"/>
  <c r="AL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T61" i="20"/>
  <c r="P61" i="20"/>
  <c r="A61" i="20"/>
  <c r="AO59" i="20"/>
  <c r="AN59" i="20"/>
  <c r="AM59" i="20"/>
  <c r="AL59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T59" i="20"/>
  <c r="H59" i="20"/>
  <c r="A59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T57" i="20"/>
  <c r="R57" i="20"/>
  <c r="H57" i="20"/>
  <c r="A57" i="20"/>
  <c r="AO55" i="20"/>
  <c r="AN55" i="20"/>
  <c r="AM55" i="20"/>
  <c r="AL55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T55" i="20"/>
  <c r="R55" i="20"/>
  <c r="H55" i="20"/>
  <c r="A55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T53" i="20"/>
  <c r="H53" i="20"/>
  <c r="M53" i="20" s="1"/>
  <c r="A53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T51" i="20"/>
  <c r="H51" i="20"/>
  <c r="A51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T49" i="20"/>
  <c r="R49" i="20"/>
  <c r="H49" i="20"/>
  <c r="A49" i="20"/>
  <c r="AO47" i="20"/>
  <c r="AN47" i="20"/>
  <c r="AM47" i="20"/>
  <c r="AL47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T47" i="20"/>
  <c r="R47" i="20"/>
  <c r="H47" i="20"/>
  <c r="A47" i="20"/>
  <c r="AO45" i="20"/>
  <c r="AN45" i="20"/>
  <c r="AM45" i="20"/>
  <c r="AL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T45" i="20"/>
  <c r="H45" i="20"/>
  <c r="M45" i="20" s="1"/>
  <c r="A45" i="20"/>
  <c r="AO43" i="20"/>
  <c r="AN43" i="20"/>
  <c r="AM43" i="20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T43" i="20"/>
  <c r="H43" i="20"/>
  <c r="A43" i="20"/>
  <c r="AO41" i="20"/>
  <c r="AN41" i="20"/>
  <c r="AM41" i="20"/>
  <c r="AL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T41" i="20"/>
  <c r="R41" i="20"/>
  <c r="H41" i="20"/>
  <c r="A41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T39" i="20"/>
  <c r="R39" i="20"/>
  <c r="H39" i="20"/>
  <c r="A39" i="20"/>
  <c r="AO37" i="20"/>
  <c r="AN37" i="20"/>
  <c r="AM37" i="20"/>
  <c r="AL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T37" i="20"/>
  <c r="R37" i="20"/>
  <c r="H37" i="20"/>
  <c r="A37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T35" i="20"/>
  <c r="R35" i="20"/>
  <c r="H35" i="20"/>
  <c r="A35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T33" i="20"/>
  <c r="R33" i="20"/>
  <c r="H33" i="20"/>
  <c r="A33" i="20"/>
  <c r="AO31" i="20"/>
  <c r="AN31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T31" i="20"/>
  <c r="H31" i="20"/>
  <c r="A31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T29" i="20"/>
  <c r="H29" i="20"/>
  <c r="A29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T27" i="20"/>
  <c r="H27" i="20"/>
  <c r="A27" i="20"/>
  <c r="AO25" i="20"/>
  <c r="AN25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T25" i="20"/>
  <c r="H25" i="20"/>
  <c r="A25" i="20"/>
  <c r="AO23" i="20"/>
  <c r="AO67" i="20" s="1"/>
  <c r="L59" i="20" s="1"/>
  <c r="AN23" i="20"/>
  <c r="AN67" i="20" s="1"/>
  <c r="L57" i="20" s="1"/>
  <c r="AM23" i="20"/>
  <c r="AM67" i="20" s="1"/>
  <c r="L55" i="20" s="1"/>
  <c r="AL23" i="20"/>
  <c r="AL67" i="20" s="1"/>
  <c r="L53" i="20" s="1"/>
  <c r="AK23" i="20"/>
  <c r="AK67" i="20" s="1"/>
  <c r="L51" i="20" s="1"/>
  <c r="AJ23" i="20"/>
  <c r="AJ67" i="20" s="1"/>
  <c r="L49" i="20" s="1"/>
  <c r="AI23" i="20"/>
  <c r="AI67" i="20" s="1"/>
  <c r="L47" i="20" s="1"/>
  <c r="AH23" i="20"/>
  <c r="AH67" i="20" s="1"/>
  <c r="L45" i="20" s="1"/>
  <c r="AG23" i="20"/>
  <c r="AG67" i="20" s="1"/>
  <c r="L43" i="20" s="1"/>
  <c r="AF23" i="20"/>
  <c r="AF67" i="20" s="1"/>
  <c r="L41" i="20" s="1"/>
  <c r="AE23" i="20"/>
  <c r="AE67" i="20" s="1"/>
  <c r="L39" i="20" s="1"/>
  <c r="AD23" i="20"/>
  <c r="AD67" i="20" s="1"/>
  <c r="L37" i="20" s="1"/>
  <c r="AC23" i="20"/>
  <c r="AC67" i="20" s="1"/>
  <c r="L35" i="20" s="1"/>
  <c r="AB23" i="20"/>
  <c r="AB67" i="20" s="1"/>
  <c r="L33" i="20" s="1"/>
  <c r="AA23" i="20"/>
  <c r="AA67" i="20" s="1"/>
  <c r="L31" i="20" s="1"/>
  <c r="Z23" i="20"/>
  <c r="Z67" i="20" s="1"/>
  <c r="L29" i="20" s="1"/>
  <c r="Y23" i="20"/>
  <c r="Y67" i="20" s="1"/>
  <c r="L27" i="20" s="1"/>
  <c r="X23" i="20"/>
  <c r="X67" i="20" s="1"/>
  <c r="L25" i="20" s="1"/>
  <c r="W23" i="20"/>
  <c r="W67" i="20" s="1"/>
  <c r="L23" i="20" s="1"/>
  <c r="T23" i="20"/>
  <c r="H23" i="20"/>
  <c r="H66" i="20" s="1"/>
  <c r="A23" i="20"/>
  <c r="B11" i="20"/>
  <c r="F8" i="20"/>
  <c r="F7" i="20"/>
  <c r="F9" i="20" s="1"/>
  <c r="F6" i="20"/>
  <c r="F66" i="19"/>
  <c r="D66" i="19"/>
  <c r="B66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T63" i="19"/>
  <c r="P63" i="19"/>
  <c r="A63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T61" i="19"/>
  <c r="P61" i="19"/>
  <c r="A61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T59" i="19"/>
  <c r="H59" i="19"/>
  <c r="A59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T57" i="19"/>
  <c r="R57" i="19"/>
  <c r="H57" i="19"/>
  <c r="A57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T55" i="19"/>
  <c r="R55" i="19"/>
  <c r="H55" i="19"/>
  <c r="A55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T53" i="19"/>
  <c r="H53" i="19"/>
  <c r="M53" i="19" s="1"/>
  <c r="A53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T51" i="19"/>
  <c r="H51" i="19"/>
  <c r="A51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T49" i="19"/>
  <c r="R49" i="19"/>
  <c r="H49" i="19"/>
  <c r="A49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T47" i="19"/>
  <c r="R47" i="19"/>
  <c r="H47" i="19"/>
  <c r="A47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T45" i="19"/>
  <c r="H45" i="19"/>
  <c r="M45" i="19" s="1"/>
  <c r="A45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T43" i="19"/>
  <c r="H43" i="19"/>
  <c r="A43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T41" i="19"/>
  <c r="R41" i="19"/>
  <c r="H41" i="19"/>
  <c r="A41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T39" i="19"/>
  <c r="R39" i="19"/>
  <c r="H39" i="19"/>
  <c r="A39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T37" i="19"/>
  <c r="R37" i="19"/>
  <c r="H37" i="19"/>
  <c r="A37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T35" i="19"/>
  <c r="R35" i="19"/>
  <c r="H35" i="19"/>
  <c r="A35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T33" i="19"/>
  <c r="R33" i="19"/>
  <c r="H33" i="19"/>
  <c r="A33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T31" i="19"/>
  <c r="H31" i="19"/>
  <c r="A31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T29" i="19"/>
  <c r="H29" i="19"/>
  <c r="A29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T27" i="19"/>
  <c r="H27" i="19"/>
  <c r="A27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T25" i="19"/>
  <c r="H25" i="19"/>
  <c r="A25" i="19"/>
  <c r="AO23" i="19"/>
  <c r="AO67" i="19" s="1"/>
  <c r="L59" i="19" s="1"/>
  <c r="AN23" i="19"/>
  <c r="AN67" i="19" s="1"/>
  <c r="L57" i="19" s="1"/>
  <c r="AM23" i="19"/>
  <c r="AM67" i="19" s="1"/>
  <c r="L55" i="19" s="1"/>
  <c r="AL23" i="19"/>
  <c r="AL67" i="19" s="1"/>
  <c r="L53" i="19" s="1"/>
  <c r="AK23" i="19"/>
  <c r="AK67" i="19" s="1"/>
  <c r="L51" i="19" s="1"/>
  <c r="AJ23" i="19"/>
  <c r="AJ67" i="19" s="1"/>
  <c r="L49" i="19" s="1"/>
  <c r="AI23" i="19"/>
  <c r="AI67" i="19" s="1"/>
  <c r="L47" i="19" s="1"/>
  <c r="AH23" i="19"/>
  <c r="AH67" i="19" s="1"/>
  <c r="L45" i="19" s="1"/>
  <c r="AG23" i="19"/>
  <c r="AG67" i="19" s="1"/>
  <c r="L43" i="19" s="1"/>
  <c r="AF23" i="19"/>
  <c r="AF67" i="19" s="1"/>
  <c r="L41" i="19" s="1"/>
  <c r="AE23" i="19"/>
  <c r="AE67" i="19" s="1"/>
  <c r="L39" i="19" s="1"/>
  <c r="AD23" i="19"/>
  <c r="AD67" i="19" s="1"/>
  <c r="L37" i="19" s="1"/>
  <c r="AC23" i="19"/>
  <c r="AC67" i="19" s="1"/>
  <c r="L35" i="19" s="1"/>
  <c r="AB23" i="19"/>
  <c r="AB67" i="19" s="1"/>
  <c r="L33" i="19" s="1"/>
  <c r="AA23" i="19"/>
  <c r="AA67" i="19" s="1"/>
  <c r="L31" i="19" s="1"/>
  <c r="Z23" i="19"/>
  <c r="Z67" i="19" s="1"/>
  <c r="L29" i="19" s="1"/>
  <c r="Y23" i="19"/>
  <c r="Y67" i="19" s="1"/>
  <c r="L27" i="19" s="1"/>
  <c r="X23" i="19"/>
  <c r="X67" i="19" s="1"/>
  <c r="L25" i="19" s="1"/>
  <c r="W23" i="19"/>
  <c r="W67" i="19" s="1"/>
  <c r="L23" i="19" s="1"/>
  <c r="T23" i="19"/>
  <c r="H23" i="19"/>
  <c r="H66" i="19" s="1"/>
  <c r="A23" i="19"/>
  <c r="B11" i="19"/>
  <c r="F8" i="19"/>
  <c r="F7" i="19"/>
  <c r="F9" i="19" s="1"/>
  <c r="F6" i="19"/>
  <c r="F66" i="18"/>
  <c r="D66" i="18"/>
  <c r="B66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T63" i="18"/>
  <c r="P63" i="18"/>
  <c r="A63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T61" i="18"/>
  <c r="P61" i="18"/>
  <c r="A61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T59" i="18"/>
  <c r="H59" i="18"/>
  <c r="A59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T57" i="18"/>
  <c r="R57" i="18"/>
  <c r="H57" i="18"/>
  <c r="A57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T55" i="18"/>
  <c r="R55" i="18"/>
  <c r="H55" i="18"/>
  <c r="A55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T53" i="18"/>
  <c r="H53" i="18"/>
  <c r="M53" i="18" s="1"/>
  <c r="A53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T51" i="18"/>
  <c r="H51" i="18"/>
  <c r="A51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T49" i="18"/>
  <c r="R49" i="18"/>
  <c r="H49" i="18"/>
  <c r="A49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T47" i="18"/>
  <c r="R47" i="18"/>
  <c r="H47" i="18"/>
  <c r="A47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T45" i="18"/>
  <c r="H45" i="18"/>
  <c r="M45" i="18" s="1"/>
  <c r="A45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T43" i="18"/>
  <c r="H43" i="18"/>
  <c r="A43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T41" i="18"/>
  <c r="R41" i="18"/>
  <c r="H41" i="18"/>
  <c r="A41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T39" i="18"/>
  <c r="R39" i="18"/>
  <c r="H39" i="18"/>
  <c r="A39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T37" i="18"/>
  <c r="R37" i="18"/>
  <c r="H37" i="18"/>
  <c r="A37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T35" i="18"/>
  <c r="R35" i="18"/>
  <c r="H35" i="18"/>
  <c r="A35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T33" i="18"/>
  <c r="R33" i="18"/>
  <c r="H33" i="18"/>
  <c r="A33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T31" i="18"/>
  <c r="H31" i="18"/>
  <c r="A31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T29" i="18"/>
  <c r="H29" i="18"/>
  <c r="A29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T27" i="18"/>
  <c r="H27" i="18"/>
  <c r="A27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T25" i="18"/>
  <c r="H25" i="18"/>
  <c r="A25" i="18"/>
  <c r="AO23" i="18"/>
  <c r="AO67" i="18" s="1"/>
  <c r="L59" i="18" s="1"/>
  <c r="AN23" i="18"/>
  <c r="AN67" i="18" s="1"/>
  <c r="L57" i="18" s="1"/>
  <c r="AM23" i="18"/>
  <c r="AM67" i="18" s="1"/>
  <c r="L55" i="18" s="1"/>
  <c r="AL23" i="18"/>
  <c r="AL67" i="18" s="1"/>
  <c r="L53" i="18" s="1"/>
  <c r="AK23" i="18"/>
  <c r="AK67" i="18" s="1"/>
  <c r="L51" i="18" s="1"/>
  <c r="AJ23" i="18"/>
  <c r="AJ67" i="18" s="1"/>
  <c r="L49" i="18" s="1"/>
  <c r="AI23" i="18"/>
  <c r="AI67" i="18" s="1"/>
  <c r="L47" i="18" s="1"/>
  <c r="AH23" i="18"/>
  <c r="AH67" i="18" s="1"/>
  <c r="L45" i="18" s="1"/>
  <c r="AG23" i="18"/>
  <c r="AG67" i="18" s="1"/>
  <c r="L43" i="18" s="1"/>
  <c r="AF23" i="18"/>
  <c r="AF67" i="18" s="1"/>
  <c r="L41" i="18" s="1"/>
  <c r="AE23" i="18"/>
  <c r="AE67" i="18" s="1"/>
  <c r="L39" i="18" s="1"/>
  <c r="AD23" i="18"/>
  <c r="AD67" i="18" s="1"/>
  <c r="L37" i="18" s="1"/>
  <c r="AC23" i="18"/>
  <c r="AC67" i="18" s="1"/>
  <c r="L35" i="18" s="1"/>
  <c r="AB23" i="18"/>
  <c r="AB67" i="18" s="1"/>
  <c r="L33" i="18" s="1"/>
  <c r="AA23" i="18"/>
  <c r="AA67" i="18" s="1"/>
  <c r="L31" i="18" s="1"/>
  <c r="Z23" i="18"/>
  <c r="Z67" i="18" s="1"/>
  <c r="L29" i="18" s="1"/>
  <c r="Y23" i="18"/>
  <c r="Y67" i="18" s="1"/>
  <c r="L27" i="18" s="1"/>
  <c r="X23" i="18"/>
  <c r="X67" i="18" s="1"/>
  <c r="L25" i="18" s="1"/>
  <c r="W23" i="18"/>
  <c r="W67" i="18" s="1"/>
  <c r="L23" i="18" s="1"/>
  <c r="T23" i="18"/>
  <c r="H23" i="18"/>
  <c r="H66" i="18" s="1"/>
  <c r="A23" i="18"/>
  <c r="B11" i="18"/>
  <c r="F8" i="18"/>
  <c r="F7" i="18"/>
  <c r="F9" i="18" s="1"/>
  <c r="F6" i="18"/>
  <c r="P72" i="18" l="1"/>
  <c r="B115" i="12" s="1"/>
  <c r="P72" i="20"/>
  <c r="B155" i="12" s="1"/>
  <c r="P72" i="22"/>
  <c r="B195" i="12" s="1"/>
  <c r="P72" i="19"/>
  <c r="B135" i="12" s="1"/>
  <c r="P72" i="21"/>
  <c r="B175" i="12" s="1"/>
  <c r="F187" i="11"/>
  <c r="D187" i="11"/>
  <c r="E187" i="11"/>
  <c r="F173" i="11"/>
  <c r="D173" i="11"/>
  <c r="E173" i="11"/>
  <c r="F159" i="11"/>
  <c r="D159" i="11"/>
  <c r="E159" i="11"/>
  <c r="F145" i="11"/>
  <c r="D145" i="11"/>
  <c r="E145" i="11"/>
  <c r="F131" i="11"/>
  <c r="D131" i="11"/>
  <c r="E131" i="11"/>
  <c r="M27" i="22"/>
  <c r="M31" i="22"/>
  <c r="M45" i="22"/>
  <c r="M53" i="22"/>
  <c r="M25" i="22"/>
  <c r="M29" i="22"/>
  <c r="M33" i="22"/>
  <c r="M35" i="22"/>
  <c r="M37" i="22"/>
  <c r="M39" i="22"/>
  <c r="M41" i="22"/>
  <c r="M43" i="22"/>
  <c r="M47" i="22"/>
  <c r="M49" i="22"/>
  <c r="M51" i="22"/>
  <c r="M55" i="22"/>
  <c r="M57" i="22"/>
  <c r="R59" i="22"/>
  <c r="T66" i="22" s="1"/>
  <c r="M59" i="22"/>
  <c r="M23" i="22"/>
  <c r="M27" i="21"/>
  <c r="M31" i="21"/>
  <c r="Q45" i="21"/>
  <c r="P45" i="21"/>
  <c r="B88" i="21" s="1"/>
  <c r="Q53" i="21"/>
  <c r="P53" i="21"/>
  <c r="B92" i="21" s="1"/>
  <c r="M25" i="21"/>
  <c r="M29" i="21"/>
  <c r="M33" i="21"/>
  <c r="M35" i="21"/>
  <c r="M37" i="21"/>
  <c r="M39" i="21"/>
  <c r="M41" i="21"/>
  <c r="M43" i="21"/>
  <c r="M47" i="21"/>
  <c r="M49" i="21"/>
  <c r="M51" i="21"/>
  <c r="M55" i="21"/>
  <c r="M57" i="21"/>
  <c r="R59" i="21"/>
  <c r="T66" i="21" s="1"/>
  <c r="M59" i="21"/>
  <c r="M23" i="21"/>
  <c r="M31" i="20"/>
  <c r="M27" i="20"/>
  <c r="P45" i="20"/>
  <c r="B88" i="20" s="1"/>
  <c r="P53" i="20"/>
  <c r="B92" i="20" s="1"/>
  <c r="M25" i="20"/>
  <c r="M29" i="20"/>
  <c r="M33" i="20"/>
  <c r="M35" i="20"/>
  <c r="M37" i="20"/>
  <c r="M39" i="20"/>
  <c r="M41" i="20"/>
  <c r="M43" i="20"/>
  <c r="M47" i="20"/>
  <c r="M49" i="20"/>
  <c r="M51" i="20"/>
  <c r="M55" i="20"/>
  <c r="M57" i="20"/>
  <c r="R59" i="20"/>
  <c r="T66" i="20" s="1"/>
  <c r="M59" i="20"/>
  <c r="M23" i="20"/>
  <c r="M27" i="19"/>
  <c r="M31" i="19"/>
  <c r="Q45" i="19"/>
  <c r="P45" i="19"/>
  <c r="B88" i="19" s="1"/>
  <c r="Q53" i="19"/>
  <c r="P53" i="19"/>
  <c r="B92" i="19" s="1"/>
  <c r="M25" i="19"/>
  <c r="M29" i="19"/>
  <c r="M33" i="19"/>
  <c r="M35" i="19"/>
  <c r="M37" i="19"/>
  <c r="M39" i="19"/>
  <c r="M41" i="19"/>
  <c r="M43" i="19"/>
  <c r="M47" i="19"/>
  <c r="M49" i="19"/>
  <c r="M51" i="19"/>
  <c r="M55" i="19"/>
  <c r="M57" i="19"/>
  <c r="R59" i="19"/>
  <c r="T66" i="19" s="1"/>
  <c r="M59" i="19"/>
  <c r="M23" i="19"/>
  <c r="M27" i="18"/>
  <c r="M31" i="18"/>
  <c r="P45" i="18"/>
  <c r="B88" i="18" s="1"/>
  <c r="P53" i="18"/>
  <c r="B92" i="18" s="1"/>
  <c r="M25" i="18"/>
  <c r="M29" i="18"/>
  <c r="M33" i="18"/>
  <c r="M35" i="18"/>
  <c r="M37" i="18"/>
  <c r="M39" i="18"/>
  <c r="M41" i="18"/>
  <c r="M43" i="18"/>
  <c r="M47" i="18"/>
  <c r="M49" i="18"/>
  <c r="M51" i="18"/>
  <c r="M55" i="18"/>
  <c r="M57" i="18"/>
  <c r="R59" i="18"/>
  <c r="T66" i="18" s="1"/>
  <c r="M59" i="18"/>
  <c r="M23" i="18"/>
  <c r="E174" i="11" l="1"/>
  <c r="E175" i="11" s="1"/>
  <c r="D174" i="11"/>
  <c r="D175" i="11" s="1"/>
  <c r="F174" i="11"/>
  <c r="F175" i="11" s="1"/>
  <c r="F160" i="11"/>
  <c r="F161" i="11" s="1"/>
  <c r="E160" i="11"/>
  <c r="E161" i="11" s="1"/>
  <c r="D160" i="11"/>
  <c r="D161" i="11" s="1"/>
  <c r="D146" i="11"/>
  <c r="D147" i="11" s="1"/>
  <c r="F146" i="11"/>
  <c r="F147" i="11" s="1"/>
  <c r="E146" i="11"/>
  <c r="E147" i="11" s="1"/>
  <c r="E132" i="11"/>
  <c r="E133" i="11" s="1"/>
  <c r="D132" i="11"/>
  <c r="D133" i="11" s="1"/>
  <c r="F132" i="11"/>
  <c r="F133" i="11" s="1"/>
  <c r="D188" i="11"/>
  <c r="D189" i="11" s="1"/>
  <c r="E188" i="11"/>
  <c r="E189" i="11" s="1"/>
  <c r="F188" i="11"/>
  <c r="F189" i="11" s="1"/>
  <c r="P23" i="22"/>
  <c r="P55" i="22"/>
  <c r="B93" i="22" s="1"/>
  <c r="P49" i="22"/>
  <c r="B90" i="22" s="1"/>
  <c r="P43" i="22"/>
  <c r="B87" i="22" s="1"/>
  <c r="P39" i="22"/>
  <c r="B85" i="22" s="1"/>
  <c r="P35" i="22"/>
  <c r="B83" i="22" s="1"/>
  <c r="P29" i="22"/>
  <c r="B80" i="22" s="1"/>
  <c r="Q45" i="22"/>
  <c r="P45" i="22"/>
  <c r="B88" i="22" s="1"/>
  <c r="Q31" i="22"/>
  <c r="P31" i="22"/>
  <c r="B81" i="22" s="1"/>
  <c r="P59" i="22"/>
  <c r="B95" i="22" s="1"/>
  <c r="P57" i="22"/>
  <c r="B94" i="22" s="1"/>
  <c r="P51" i="22"/>
  <c r="B91" i="22" s="1"/>
  <c r="P47" i="22"/>
  <c r="B89" i="22" s="1"/>
  <c r="P41" i="22"/>
  <c r="B86" i="22" s="1"/>
  <c r="P37" i="22"/>
  <c r="B84" i="22" s="1"/>
  <c r="P33" i="22"/>
  <c r="B82" i="22" s="1"/>
  <c r="P25" i="22"/>
  <c r="B78" i="22" s="1"/>
  <c r="Q53" i="22"/>
  <c r="P53" i="22"/>
  <c r="B92" i="22" s="1"/>
  <c r="Q27" i="22"/>
  <c r="P27" i="22"/>
  <c r="B79" i="22" s="1"/>
  <c r="P23" i="21"/>
  <c r="P55" i="21"/>
  <c r="B93" i="21" s="1"/>
  <c r="P49" i="21"/>
  <c r="B90" i="21" s="1"/>
  <c r="P43" i="21"/>
  <c r="B87" i="21" s="1"/>
  <c r="P39" i="21"/>
  <c r="B85" i="21" s="1"/>
  <c r="P35" i="21"/>
  <c r="B83" i="21" s="1"/>
  <c r="P29" i="21"/>
  <c r="B80" i="21" s="1"/>
  <c r="Q31" i="21"/>
  <c r="P31" i="21"/>
  <c r="B81" i="21" s="1"/>
  <c r="P59" i="21"/>
  <c r="B95" i="21" s="1"/>
  <c r="P57" i="21"/>
  <c r="B94" i="21" s="1"/>
  <c r="P51" i="21"/>
  <c r="B91" i="21" s="1"/>
  <c r="P47" i="21"/>
  <c r="B89" i="21" s="1"/>
  <c r="P41" i="21"/>
  <c r="B86" i="21" s="1"/>
  <c r="P37" i="21"/>
  <c r="B84" i="21" s="1"/>
  <c r="P33" i="21"/>
  <c r="B82" i="21" s="1"/>
  <c r="P25" i="21"/>
  <c r="B78" i="21" s="1"/>
  <c r="Q27" i="21"/>
  <c r="P27" i="21"/>
  <c r="B79" i="21" s="1"/>
  <c r="P59" i="20"/>
  <c r="B95" i="20" s="1"/>
  <c r="P57" i="20"/>
  <c r="B94" i="20" s="1"/>
  <c r="P51" i="20"/>
  <c r="B91" i="20" s="1"/>
  <c r="P47" i="20"/>
  <c r="B89" i="20" s="1"/>
  <c r="P41" i="20"/>
  <c r="B86" i="20" s="1"/>
  <c r="P37" i="20"/>
  <c r="B84" i="20" s="1"/>
  <c r="P33" i="20"/>
  <c r="B82" i="20" s="1"/>
  <c r="P25" i="20"/>
  <c r="B78" i="20" s="1"/>
  <c r="Q53" i="20"/>
  <c r="Q45" i="20"/>
  <c r="Q27" i="20"/>
  <c r="P27" i="20"/>
  <c r="B79" i="20" s="1"/>
  <c r="Q23" i="20"/>
  <c r="P23" i="20"/>
  <c r="P55" i="20"/>
  <c r="B93" i="20" s="1"/>
  <c r="P49" i="20"/>
  <c r="B90" i="20" s="1"/>
  <c r="P43" i="20"/>
  <c r="B87" i="20" s="1"/>
  <c r="P39" i="20"/>
  <c r="B85" i="20" s="1"/>
  <c r="P35" i="20"/>
  <c r="B83" i="20" s="1"/>
  <c r="P29" i="20"/>
  <c r="B80" i="20" s="1"/>
  <c r="Q31" i="20"/>
  <c r="P31" i="20"/>
  <c r="B81" i="20" s="1"/>
  <c r="P23" i="19"/>
  <c r="P55" i="19"/>
  <c r="B93" i="19" s="1"/>
  <c r="P49" i="19"/>
  <c r="B90" i="19" s="1"/>
  <c r="P43" i="19"/>
  <c r="B87" i="19" s="1"/>
  <c r="P39" i="19"/>
  <c r="B85" i="19" s="1"/>
  <c r="P35" i="19"/>
  <c r="B83" i="19" s="1"/>
  <c r="P29" i="19"/>
  <c r="B80" i="19" s="1"/>
  <c r="Q31" i="19"/>
  <c r="P31" i="19"/>
  <c r="B81" i="19" s="1"/>
  <c r="P59" i="19"/>
  <c r="B95" i="19" s="1"/>
  <c r="P57" i="19"/>
  <c r="B94" i="19" s="1"/>
  <c r="P51" i="19"/>
  <c r="B91" i="19" s="1"/>
  <c r="P47" i="19"/>
  <c r="B89" i="19" s="1"/>
  <c r="P41" i="19"/>
  <c r="B86" i="19" s="1"/>
  <c r="P37" i="19"/>
  <c r="B84" i="19" s="1"/>
  <c r="P33" i="19"/>
  <c r="B82" i="19" s="1"/>
  <c r="P25" i="19"/>
  <c r="B78" i="19" s="1"/>
  <c r="Q27" i="19"/>
  <c r="P27" i="19"/>
  <c r="B79" i="19" s="1"/>
  <c r="P23" i="18"/>
  <c r="P55" i="18"/>
  <c r="B93" i="18" s="1"/>
  <c r="Q55" i="18"/>
  <c r="P59" i="18"/>
  <c r="B95" i="18" s="1"/>
  <c r="P57" i="18"/>
  <c r="B94" i="18" s="1"/>
  <c r="P51" i="18"/>
  <c r="B91" i="18" s="1"/>
  <c r="P47" i="18"/>
  <c r="B89" i="18" s="1"/>
  <c r="P41" i="18"/>
  <c r="B86" i="18" s="1"/>
  <c r="P37" i="18"/>
  <c r="B84" i="18" s="1"/>
  <c r="P33" i="18"/>
  <c r="B82" i="18" s="1"/>
  <c r="P25" i="18"/>
  <c r="B78" i="18" s="1"/>
  <c r="Q53" i="18"/>
  <c r="Q45" i="18"/>
  <c r="Q31" i="18"/>
  <c r="P31" i="18"/>
  <c r="B81" i="18" s="1"/>
  <c r="P49" i="18"/>
  <c r="B90" i="18" s="1"/>
  <c r="P43" i="18"/>
  <c r="B87" i="18" s="1"/>
  <c r="P39" i="18"/>
  <c r="B85" i="18" s="1"/>
  <c r="P35" i="18"/>
  <c r="B83" i="18" s="1"/>
  <c r="P29" i="18"/>
  <c r="B80" i="18" s="1"/>
  <c r="Q27" i="18"/>
  <c r="P27" i="18"/>
  <c r="B79" i="18" s="1"/>
  <c r="Q25" i="22" l="1"/>
  <c r="Q33" i="22"/>
  <c r="Q37" i="22"/>
  <c r="Q41" i="22"/>
  <c r="Q47" i="22"/>
  <c r="Q51" i="22"/>
  <c r="Q57" i="22"/>
  <c r="Q59" i="22"/>
  <c r="Q29" i="22"/>
  <c r="Q35" i="22"/>
  <c r="Q39" i="22"/>
  <c r="Q43" i="22"/>
  <c r="Q49" i="22"/>
  <c r="Q55" i="22"/>
  <c r="B77" i="22"/>
  <c r="P66" i="22"/>
  <c r="Q23" i="22"/>
  <c r="Q25" i="21"/>
  <c r="Q33" i="21"/>
  <c r="Q37" i="21"/>
  <c r="Q41" i="21"/>
  <c r="Q47" i="21"/>
  <c r="Q51" i="21"/>
  <c r="Q57" i="21"/>
  <c r="Q59" i="21"/>
  <c r="Q29" i="21"/>
  <c r="Q35" i="21"/>
  <c r="Q39" i="21"/>
  <c r="Q43" i="21"/>
  <c r="Q49" i="21"/>
  <c r="Q55" i="21"/>
  <c r="B77" i="21"/>
  <c r="P66" i="21"/>
  <c r="Q23" i="21"/>
  <c r="Q29" i="20"/>
  <c r="Q35" i="20"/>
  <c r="Q39" i="20"/>
  <c r="Q43" i="20"/>
  <c r="Q49" i="20"/>
  <c r="Q55" i="20"/>
  <c r="B77" i="20"/>
  <c r="P66" i="20"/>
  <c r="Q25" i="20"/>
  <c r="Q33" i="20"/>
  <c r="Q37" i="20"/>
  <c r="Q41" i="20"/>
  <c r="Q47" i="20"/>
  <c r="Q51" i="20"/>
  <c r="Q57" i="20"/>
  <c r="Q59" i="20"/>
  <c r="Q25" i="19"/>
  <c r="Q33" i="19"/>
  <c r="Q37" i="19"/>
  <c r="Q41" i="19"/>
  <c r="Q47" i="19"/>
  <c r="Q51" i="19"/>
  <c r="Q57" i="19"/>
  <c r="Q59" i="19"/>
  <c r="Q29" i="19"/>
  <c r="Q35" i="19"/>
  <c r="Q39" i="19"/>
  <c r="Q43" i="19"/>
  <c r="Q49" i="19"/>
  <c r="Q55" i="19"/>
  <c r="B77" i="19"/>
  <c r="P66" i="19"/>
  <c r="Q23" i="19"/>
  <c r="Q29" i="18"/>
  <c r="Q35" i="18"/>
  <c r="Q39" i="18"/>
  <c r="Q43" i="18"/>
  <c r="Q49" i="18"/>
  <c r="Q25" i="18"/>
  <c r="Q33" i="18"/>
  <c r="Q37" i="18"/>
  <c r="Q41" i="18"/>
  <c r="Q47" i="18"/>
  <c r="Q51" i="18"/>
  <c r="Q57" i="18"/>
  <c r="Q59" i="18"/>
  <c r="B77" i="18"/>
  <c r="P66" i="18"/>
  <c r="Q23" i="18"/>
  <c r="T63" i="17"/>
  <c r="T61" i="17"/>
  <c r="T59" i="17"/>
  <c r="T57" i="17"/>
  <c r="T55" i="17"/>
  <c r="T53" i="17"/>
  <c r="T51" i="17"/>
  <c r="T49" i="17"/>
  <c r="T47" i="17"/>
  <c r="T45" i="17"/>
  <c r="T43" i="17"/>
  <c r="T41" i="17"/>
  <c r="T39" i="17"/>
  <c r="T37" i="17"/>
  <c r="T35" i="17"/>
  <c r="T33" i="17"/>
  <c r="T31" i="17"/>
  <c r="T29" i="17"/>
  <c r="T27" i="17"/>
  <c r="T25" i="17"/>
  <c r="T23" i="17"/>
  <c r="T63" i="16" l="1"/>
  <c r="T61" i="16"/>
  <c r="T59" i="16"/>
  <c r="T57" i="16"/>
  <c r="T55" i="16"/>
  <c r="T53" i="16"/>
  <c r="T51" i="16"/>
  <c r="T49" i="16"/>
  <c r="T47" i="16"/>
  <c r="T45" i="16"/>
  <c r="T43" i="16"/>
  <c r="T41" i="16"/>
  <c r="T39" i="16"/>
  <c r="T37" i="16"/>
  <c r="T35" i="16"/>
  <c r="T33" i="16"/>
  <c r="T31" i="16"/>
  <c r="T29" i="16"/>
  <c r="T27" i="16"/>
  <c r="T25" i="16"/>
  <c r="T23" i="16"/>
  <c r="T63" i="15"/>
  <c r="T61" i="15"/>
  <c r="T59" i="15"/>
  <c r="T57" i="15"/>
  <c r="T55" i="15"/>
  <c r="T53" i="15"/>
  <c r="T51" i="15"/>
  <c r="T49" i="15"/>
  <c r="T47" i="15"/>
  <c r="T45" i="15"/>
  <c r="T43" i="15"/>
  <c r="T41" i="15"/>
  <c r="T39" i="15"/>
  <c r="T37" i="15"/>
  <c r="T35" i="15"/>
  <c r="T33" i="15"/>
  <c r="T31" i="15"/>
  <c r="T29" i="15"/>
  <c r="T27" i="15"/>
  <c r="T25" i="15"/>
  <c r="T23" i="15"/>
  <c r="T63" i="14"/>
  <c r="T61" i="14"/>
  <c r="T59" i="14"/>
  <c r="T57" i="14"/>
  <c r="T55" i="14"/>
  <c r="T53" i="14"/>
  <c r="T51" i="14"/>
  <c r="T49" i="14"/>
  <c r="T47" i="14"/>
  <c r="T45" i="14"/>
  <c r="T43" i="14"/>
  <c r="T41" i="14"/>
  <c r="T39" i="14"/>
  <c r="T37" i="14"/>
  <c r="T35" i="14"/>
  <c r="T33" i="14"/>
  <c r="T31" i="14"/>
  <c r="T29" i="14"/>
  <c r="T27" i="14"/>
  <c r="T25" i="14"/>
  <c r="T23" i="14"/>
  <c r="T63" i="13"/>
  <c r="T61" i="13"/>
  <c r="T59" i="13"/>
  <c r="T57" i="13"/>
  <c r="T55" i="13"/>
  <c r="T53" i="13"/>
  <c r="T51" i="13"/>
  <c r="T49" i="13"/>
  <c r="T47" i="13"/>
  <c r="T45" i="13"/>
  <c r="T43" i="13"/>
  <c r="T41" i="13"/>
  <c r="T39" i="13"/>
  <c r="T37" i="13"/>
  <c r="T35" i="13"/>
  <c r="T33" i="13"/>
  <c r="T31" i="13"/>
  <c r="T29" i="13"/>
  <c r="T27" i="13"/>
  <c r="T25" i="13"/>
  <c r="T23" i="13"/>
  <c r="T63" i="2"/>
  <c r="T61" i="2"/>
  <c r="T59" i="2"/>
  <c r="T57" i="2"/>
  <c r="T55" i="2"/>
  <c r="T53" i="2"/>
  <c r="T51" i="2"/>
  <c r="T49" i="2"/>
  <c r="T47" i="2"/>
  <c r="T45" i="2"/>
  <c r="T43" i="2"/>
  <c r="T41" i="2"/>
  <c r="T39" i="2"/>
  <c r="T37" i="2"/>
  <c r="T35" i="2"/>
  <c r="T33" i="2"/>
  <c r="T31" i="2"/>
  <c r="T29" i="2"/>
  <c r="T27" i="2"/>
  <c r="T25" i="2"/>
  <c r="T23" i="2"/>
  <c r="F66" i="17" l="1"/>
  <c r="P72" i="17" s="1"/>
  <c r="B228" i="12" s="1"/>
  <c r="P72" i="16"/>
  <c r="P72" i="15"/>
  <c r="P72" i="14"/>
  <c r="P72" i="13"/>
  <c r="P72" i="2"/>
  <c r="C8" i="11" l="1"/>
  <c r="F8" i="16" l="1"/>
  <c r="F7" i="16"/>
  <c r="F6" i="16"/>
  <c r="F8" i="15"/>
  <c r="F7" i="15"/>
  <c r="F6" i="15"/>
  <c r="F8" i="14"/>
  <c r="F7" i="14"/>
  <c r="F6" i="14"/>
  <c r="F8" i="13"/>
  <c r="F7" i="13"/>
  <c r="F6" i="13"/>
  <c r="P63" i="16"/>
  <c r="P61" i="16"/>
  <c r="P63" i="15"/>
  <c r="P61" i="15"/>
  <c r="P63" i="14"/>
  <c r="P61" i="14"/>
  <c r="P63" i="13"/>
  <c r="P61" i="13"/>
  <c r="A233" i="12" l="1"/>
  <c r="A100" i="12"/>
  <c r="A80" i="12"/>
  <c r="A60" i="12"/>
  <c r="A40" i="12"/>
  <c r="A20" i="12"/>
  <c r="A235" i="12"/>
  <c r="A234" i="12"/>
  <c r="A232" i="12"/>
  <c r="A102" i="12" l="1"/>
  <c r="A101" i="12"/>
  <c r="A99" i="12"/>
  <c r="A82" i="12"/>
  <c r="A81" i="12"/>
  <c r="A79" i="12"/>
  <c r="A62" i="12"/>
  <c r="A61" i="12"/>
  <c r="A59" i="12"/>
  <c r="A42" i="12"/>
  <c r="A41" i="12"/>
  <c r="A39" i="12"/>
  <c r="A19" i="12"/>
  <c r="H23" i="15" l="1"/>
  <c r="H25" i="15"/>
  <c r="H27" i="15"/>
  <c r="H29" i="15"/>
  <c r="H31" i="15"/>
  <c r="H33" i="15"/>
  <c r="H35" i="15"/>
  <c r="H37" i="15"/>
  <c r="H39" i="15"/>
  <c r="H41" i="15"/>
  <c r="H43" i="15"/>
  <c r="H45" i="15"/>
  <c r="H47" i="15"/>
  <c r="H49" i="15"/>
  <c r="H51" i="15"/>
  <c r="H66" i="15" s="1"/>
  <c r="H53" i="15"/>
  <c r="H55" i="15"/>
  <c r="H57" i="15"/>
  <c r="H59" i="15"/>
  <c r="F66" i="16"/>
  <c r="F66" i="15"/>
  <c r="F66" i="14"/>
  <c r="F66" i="13"/>
  <c r="F66" i="2"/>
  <c r="B11" i="16"/>
  <c r="B11" i="15"/>
  <c r="B11" i="14"/>
  <c r="B11" i="13"/>
  <c r="B11" i="2"/>
  <c r="F8" i="2" l="1"/>
  <c r="F7" i="2"/>
  <c r="F6" i="2"/>
  <c r="B95" i="12"/>
  <c r="D113" i="11"/>
  <c r="D99" i="11"/>
  <c r="D85" i="11"/>
  <c r="D71" i="11"/>
  <c r="D57" i="11"/>
  <c r="B35" i="12" l="1"/>
  <c r="B55" i="12"/>
  <c r="B75" i="12"/>
  <c r="W23" i="17"/>
  <c r="W25" i="17"/>
  <c r="W27" i="17"/>
  <c r="W29" i="17"/>
  <c r="W31" i="17"/>
  <c r="W33" i="17"/>
  <c r="W35" i="17"/>
  <c r="W37" i="17"/>
  <c r="W39" i="17"/>
  <c r="W41" i="17"/>
  <c r="E16" i="1" l="1"/>
  <c r="G27" i="22" l="1"/>
  <c r="G43" i="21"/>
  <c r="G41" i="21"/>
  <c r="G39" i="21"/>
  <c r="G37" i="21"/>
  <c r="G35" i="21"/>
  <c r="G33" i="21"/>
  <c r="G27" i="20"/>
  <c r="G43" i="19"/>
  <c r="G41" i="19"/>
  <c r="G39" i="19"/>
  <c r="G37" i="19"/>
  <c r="G35" i="19"/>
  <c r="G33" i="19"/>
  <c r="G53" i="18"/>
  <c r="G23" i="18"/>
  <c r="G29" i="22"/>
  <c r="G45" i="21"/>
  <c r="G29" i="20"/>
  <c r="G45" i="19"/>
  <c r="G59" i="18"/>
  <c r="G57" i="18"/>
  <c r="G55" i="18"/>
  <c r="G25" i="18"/>
  <c r="G31" i="19"/>
  <c r="G14" i="19"/>
  <c r="G51" i="18"/>
  <c r="G47" i="18"/>
  <c r="G31" i="22"/>
  <c r="G14" i="22"/>
  <c r="G51" i="21"/>
  <c r="G49" i="21"/>
  <c r="G47" i="21"/>
  <c r="G31" i="20"/>
  <c r="G14" i="20"/>
  <c r="G51" i="19"/>
  <c r="G49" i="19"/>
  <c r="G47" i="19"/>
  <c r="G27" i="18"/>
  <c r="G23" i="21"/>
  <c r="G43" i="20"/>
  <c r="G41" i="20"/>
  <c r="G39" i="20"/>
  <c r="G37" i="20"/>
  <c r="G35" i="20"/>
  <c r="G33" i="20"/>
  <c r="G53" i="19"/>
  <c r="G29" i="18"/>
  <c r="G45" i="22"/>
  <c r="G45" i="20"/>
  <c r="G55" i="19"/>
  <c r="G45" i="18"/>
  <c r="G57" i="22"/>
  <c r="G25" i="22"/>
  <c r="G31" i="21"/>
  <c r="G55" i="20"/>
  <c r="G25" i="20"/>
  <c r="G43" i="22"/>
  <c r="G41" i="22"/>
  <c r="G39" i="22"/>
  <c r="G37" i="22"/>
  <c r="G35" i="22"/>
  <c r="G33" i="22"/>
  <c r="G53" i="21"/>
  <c r="G23" i="19"/>
  <c r="G59" i="21"/>
  <c r="G57" i="21"/>
  <c r="G55" i="21"/>
  <c r="G25" i="21"/>
  <c r="G59" i="19"/>
  <c r="G57" i="19"/>
  <c r="G25" i="19"/>
  <c r="G31" i="18"/>
  <c r="G14" i="18"/>
  <c r="G55" i="22"/>
  <c r="G59" i="20"/>
  <c r="G51" i="22"/>
  <c r="G49" i="22"/>
  <c r="G47" i="22"/>
  <c r="G27" i="21"/>
  <c r="G51" i="20"/>
  <c r="G49" i="20"/>
  <c r="G47" i="20"/>
  <c r="G27" i="19"/>
  <c r="G43" i="18"/>
  <c r="G41" i="18"/>
  <c r="G39" i="18"/>
  <c r="G37" i="18"/>
  <c r="G35" i="18"/>
  <c r="G33" i="18"/>
  <c r="G53" i="22"/>
  <c r="G23" i="22"/>
  <c r="G29" i="21"/>
  <c r="G14" i="21"/>
  <c r="G53" i="20"/>
  <c r="G23" i="20"/>
  <c r="G29" i="19"/>
  <c r="G59" i="22"/>
  <c r="G57" i="20"/>
  <c r="G49" i="18"/>
  <c r="G12" i="20"/>
  <c r="G12" i="22"/>
  <c r="G12" i="19"/>
  <c r="G12" i="18"/>
  <c r="G12" i="21"/>
  <c r="G14" i="17"/>
  <c r="G59" i="17"/>
  <c r="G43" i="17"/>
  <c r="G27" i="17"/>
  <c r="G57" i="17"/>
  <c r="G41" i="17"/>
  <c r="G25" i="17"/>
  <c r="G55" i="17"/>
  <c r="G39" i="17"/>
  <c r="G23" i="17"/>
  <c r="G51" i="17"/>
  <c r="G35" i="17"/>
  <c r="G53" i="17"/>
  <c r="G37" i="17"/>
  <c r="G23" i="2"/>
  <c r="G49" i="17"/>
  <c r="G33" i="17"/>
  <c r="G47" i="17"/>
  <c r="G31" i="17"/>
  <c r="G45" i="17"/>
  <c r="G29" i="17"/>
  <c r="G14" i="16"/>
  <c r="G59" i="16"/>
  <c r="G51" i="16"/>
  <c r="G43" i="16"/>
  <c r="G35" i="16"/>
  <c r="G27" i="16"/>
  <c r="G57" i="15"/>
  <c r="G49" i="15"/>
  <c r="G41" i="15"/>
  <c r="G33" i="15"/>
  <c r="G25" i="15"/>
  <c r="G53" i="14"/>
  <c r="G45" i="14"/>
  <c r="G37" i="14"/>
  <c r="G29" i="14"/>
  <c r="G59" i="13"/>
  <c r="G51" i="13"/>
  <c r="G43" i="13"/>
  <c r="G35" i="13"/>
  <c r="G27" i="13"/>
  <c r="G57" i="2"/>
  <c r="G49" i="2"/>
  <c r="G41" i="2"/>
  <c r="G33" i="2"/>
  <c r="G25" i="2"/>
  <c r="G14" i="15"/>
  <c r="G57" i="16"/>
  <c r="G49" i="16"/>
  <c r="G41" i="16"/>
  <c r="G33" i="16"/>
  <c r="G25" i="16"/>
  <c r="G55" i="15"/>
  <c r="G47" i="15"/>
  <c r="G39" i="15"/>
  <c r="G31" i="15"/>
  <c r="G23" i="15"/>
  <c r="G59" i="14"/>
  <c r="G51" i="14"/>
  <c r="G43" i="14"/>
  <c r="G35" i="14"/>
  <c r="G27" i="14"/>
  <c r="G57" i="13"/>
  <c r="G49" i="13"/>
  <c r="G41" i="13"/>
  <c r="G33" i="13"/>
  <c r="G25" i="13"/>
  <c r="G55" i="2"/>
  <c r="G47" i="2"/>
  <c r="G39" i="2"/>
  <c r="G31" i="2"/>
  <c r="G14" i="14"/>
  <c r="G55" i="16"/>
  <c r="G47" i="16"/>
  <c r="G39" i="16"/>
  <c r="G31" i="16"/>
  <c r="G23" i="16"/>
  <c r="G53" i="15"/>
  <c r="G45" i="15"/>
  <c r="G37" i="15"/>
  <c r="G29" i="15"/>
  <c r="G57" i="14"/>
  <c r="G49" i="14"/>
  <c r="G41" i="14"/>
  <c r="G33" i="14"/>
  <c r="G25" i="14"/>
  <c r="G55" i="13"/>
  <c r="G47" i="13"/>
  <c r="G39" i="13"/>
  <c r="G31" i="13"/>
  <c r="G23" i="13"/>
  <c r="G53" i="2"/>
  <c r="G45" i="2"/>
  <c r="G37" i="2"/>
  <c r="G29" i="2"/>
  <c r="G14" i="2"/>
  <c r="G14" i="13"/>
  <c r="G53" i="16"/>
  <c r="G45" i="16"/>
  <c r="G37" i="16"/>
  <c r="G29" i="16"/>
  <c r="G59" i="15"/>
  <c r="G51" i="15"/>
  <c r="G43" i="15"/>
  <c r="G35" i="15"/>
  <c r="G27" i="15"/>
  <c r="G55" i="14"/>
  <c r="G47" i="14"/>
  <c r="G39" i="14"/>
  <c r="G31" i="14"/>
  <c r="G23" i="14"/>
  <c r="G53" i="13"/>
  <c r="G45" i="13"/>
  <c r="G37" i="13"/>
  <c r="G29" i="13"/>
  <c r="G59" i="2"/>
  <c r="G51" i="2"/>
  <c r="G43" i="2"/>
  <c r="G35" i="2"/>
  <c r="G27" i="2"/>
  <c r="B7" i="17"/>
  <c r="B8" i="17"/>
  <c r="B10" i="17"/>
  <c r="B6" i="17"/>
  <c r="E26" i="1"/>
  <c r="F166" i="12" l="1"/>
  <c r="B172" i="12" s="1"/>
  <c r="B173" i="12" s="1"/>
  <c r="G17" i="21"/>
  <c r="G13" i="21"/>
  <c r="P71" i="21"/>
  <c r="P69" i="21"/>
  <c r="Q69" i="21" s="1"/>
  <c r="P68" i="21"/>
  <c r="G17" i="18"/>
  <c r="F106" i="12"/>
  <c r="B112" i="12" s="1"/>
  <c r="B113" i="12" s="1"/>
  <c r="G13" i="18"/>
  <c r="P71" i="18"/>
  <c r="P68" i="18"/>
  <c r="P69" i="18"/>
  <c r="Q69" i="18" s="1"/>
  <c r="F126" i="12"/>
  <c r="B132" i="12" s="1"/>
  <c r="B133" i="12" s="1"/>
  <c r="G17" i="19"/>
  <c r="G13" i="19"/>
  <c r="P71" i="19"/>
  <c r="P68" i="19"/>
  <c r="P69" i="19"/>
  <c r="Q69" i="19" s="1"/>
  <c r="G17" i="22"/>
  <c r="F186" i="12"/>
  <c r="B192" i="12" s="1"/>
  <c r="B193" i="12" s="1"/>
  <c r="G13" i="22"/>
  <c r="P68" i="22"/>
  <c r="P69" i="22"/>
  <c r="Q69" i="22" s="1"/>
  <c r="P71" i="22"/>
  <c r="G17" i="20"/>
  <c r="F146" i="12"/>
  <c r="B152" i="12" s="1"/>
  <c r="B153" i="12" s="1"/>
  <c r="G13" i="20"/>
  <c r="P68" i="20"/>
  <c r="P71" i="20"/>
  <c r="P69" i="20"/>
  <c r="Q69" i="20" s="1"/>
  <c r="E32" i="1"/>
  <c r="E31" i="1"/>
  <c r="E30" i="1"/>
  <c r="W23" i="2"/>
  <c r="W25" i="2"/>
  <c r="W27" i="2"/>
  <c r="W29" i="2"/>
  <c r="W31" i="2"/>
  <c r="W33" i="2"/>
  <c r="W35" i="2"/>
  <c r="W37" i="2"/>
  <c r="W41" i="2"/>
  <c r="W43" i="2"/>
  <c r="W45" i="2"/>
  <c r="W47" i="2"/>
  <c r="W49" i="2"/>
  <c r="W51" i="2"/>
  <c r="W53" i="2"/>
  <c r="W55" i="2"/>
  <c r="W57" i="2"/>
  <c r="W59" i="2"/>
  <c r="X23" i="2"/>
  <c r="X25" i="2"/>
  <c r="X27" i="2"/>
  <c r="X29" i="2"/>
  <c r="X31" i="2"/>
  <c r="X33" i="2"/>
  <c r="X35" i="2"/>
  <c r="X37" i="2"/>
  <c r="X41" i="2"/>
  <c r="X43" i="2"/>
  <c r="X45" i="2"/>
  <c r="X47" i="2"/>
  <c r="X49" i="2"/>
  <c r="X51" i="2"/>
  <c r="X53" i="2"/>
  <c r="X55" i="2"/>
  <c r="X57" i="2"/>
  <c r="X59" i="2"/>
  <c r="Y23" i="2"/>
  <c r="Y25" i="2"/>
  <c r="Y27" i="2"/>
  <c r="Y29" i="2"/>
  <c r="Y31" i="2"/>
  <c r="Y33" i="2"/>
  <c r="Y35" i="2"/>
  <c r="Y37" i="2"/>
  <c r="Y39" i="2"/>
  <c r="Y41" i="2"/>
  <c r="Y43" i="2"/>
  <c r="Y45" i="2"/>
  <c r="Y47" i="2"/>
  <c r="Y49" i="2"/>
  <c r="Y51" i="2"/>
  <c r="Y53" i="2"/>
  <c r="Y55" i="2"/>
  <c r="Y57" i="2"/>
  <c r="Y59" i="2"/>
  <c r="Z23" i="2"/>
  <c r="Z25" i="2"/>
  <c r="Z27" i="2"/>
  <c r="Z29" i="2"/>
  <c r="Z31" i="2"/>
  <c r="Z33" i="2"/>
  <c r="Z35" i="2"/>
  <c r="Z37" i="2"/>
  <c r="Z39" i="2"/>
  <c r="Z41" i="2"/>
  <c r="Z43" i="2"/>
  <c r="Z45" i="2"/>
  <c r="Z47" i="2"/>
  <c r="Z49" i="2"/>
  <c r="Z51" i="2"/>
  <c r="Z53" i="2"/>
  <c r="Z55" i="2"/>
  <c r="Z57" i="2"/>
  <c r="Z59" i="2"/>
  <c r="AA23" i="2"/>
  <c r="AA25" i="2"/>
  <c r="AA27" i="2"/>
  <c r="AA29" i="2"/>
  <c r="AA31" i="2"/>
  <c r="AA33" i="2"/>
  <c r="AA35" i="2"/>
  <c r="AA37" i="2"/>
  <c r="AA39" i="2"/>
  <c r="AA43" i="2"/>
  <c r="AA45" i="2"/>
  <c r="AA47" i="2"/>
  <c r="AA49" i="2"/>
  <c r="AA51" i="2"/>
  <c r="AA53" i="2"/>
  <c r="AA55" i="2"/>
  <c r="AA57" i="2"/>
  <c r="AA59" i="2"/>
  <c r="AB23" i="2"/>
  <c r="AB25" i="2"/>
  <c r="AB27" i="2"/>
  <c r="AB29" i="2"/>
  <c r="AB31" i="2"/>
  <c r="AB33" i="2"/>
  <c r="AB35" i="2"/>
  <c r="AB37" i="2"/>
  <c r="AB39" i="2"/>
  <c r="AB41" i="2"/>
  <c r="AB43" i="2"/>
  <c r="AB45" i="2"/>
  <c r="AB47" i="2"/>
  <c r="AB49" i="2"/>
  <c r="AB51" i="2"/>
  <c r="AB53" i="2"/>
  <c r="AB55" i="2"/>
  <c r="AB57" i="2"/>
  <c r="AB59" i="2"/>
  <c r="AC23" i="2"/>
  <c r="AC25" i="2"/>
  <c r="AC27" i="2"/>
  <c r="AC29" i="2"/>
  <c r="AC31" i="2"/>
  <c r="AC33" i="2"/>
  <c r="AC35" i="2"/>
  <c r="AC37" i="2"/>
  <c r="AC39" i="2"/>
  <c r="AC41" i="2"/>
  <c r="AC43" i="2"/>
  <c r="AC45" i="2"/>
  <c r="AC47" i="2"/>
  <c r="AC49" i="2"/>
  <c r="AC51" i="2"/>
  <c r="AC53" i="2"/>
  <c r="AC55" i="2"/>
  <c r="AC57" i="2"/>
  <c r="AC59" i="2"/>
  <c r="AD23" i="2"/>
  <c r="AD25" i="2"/>
  <c r="AD27" i="2"/>
  <c r="AD29" i="2"/>
  <c r="AD31" i="2"/>
  <c r="AD33" i="2"/>
  <c r="AD35" i="2"/>
  <c r="AD37" i="2"/>
  <c r="AD39" i="2"/>
  <c r="AD41" i="2"/>
  <c r="AD43" i="2"/>
  <c r="AD45" i="2"/>
  <c r="AD47" i="2"/>
  <c r="AD49" i="2"/>
  <c r="AD51" i="2"/>
  <c r="AD53" i="2"/>
  <c r="AD55" i="2"/>
  <c r="AD57" i="2"/>
  <c r="AD59" i="2"/>
  <c r="H37" i="2"/>
  <c r="AE23" i="2"/>
  <c r="AE27" i="2"/>
  <c r="AE29" i="2"/>
  <c r="AE31" i="2"/>
  <c r="AE33" i="2"/>
  <c r="AE35" i="2"/>
  <c r="AE37" i="2"/>
  <c r="AE39" i="2"/>
  <c r="AE43" i="2"/>
  <c r="AE45" i="2"/>
  <c r="AE47" i="2"/>
  <c r="AE49" i="2"/>
  <c r="AE51" i="2"/>
  <c r="AE53" i="2"/>
  <c r="AE55" i="2"/>
  <c r="AE57" i="2"/>
  <c r="AE59" i="2"/>
  <c r="AG23" i="2"/>
  <c r="AG25" i="2"/>
  <c r="AG27" i="2"/>
  <c r="AG29" i="2"/>
  <c r="AG31" i="2"/>
  <c r="AG33" i="2"/>
  <c r="AG35" i="2"/>
  <c r="AG37" i="2"/>
  <c r="AG39" i="2"/>
  <c r="AG41" i="2"/>
  <c r="AG43" i="2"/>
  <c r="AG45" i="2"/>
  <c r="AG47" i="2"/>
  <c r="AG49" i="2"/>
  <c r="AG51" i="2"/>
  <c r="AG53" i="2"/>
  <c r="AG55" i="2"/>
  <c r="AG57" i="2"/>
  <c r="AG59" i="2"/>
  <c r="AH23" i="2"/>
  <c r="AH25" i="2"/>
  <c r="AH27" i="2"/>
  <c r="AH29" i="2"/>
  <c r="AH31" i="2"/>
  <c r="AH33" i="2"/>
  <c r="AH35" i="2"/>
  <c r="AH37" i="2"/>
  <c r="AH39" i="2"/>
  <c r="AH41" i="2"/>
  <c r="AH43" i="2"/>
  <c r="AH45" i="2"/>
  <c r="AH47" i="2"/>
  <c r="AH49" i="2"/>
  <c r="AH51" i="2"/>
  <c r="AH53" i="2"/>
  <c r="AH55" i="2"/>
  <c r="AH57" i="2"/>
  <c r="AH59" i="2"/>
  <c r="AK23" i="2"/>
  <c r="AK25" i="2"/>
  <c r="AK27" i="2"/>
  <c r="AK29" i="2"/>
  <c r="AK31" i="2"/>
  <c r="AK33" i="2"/>
  <c r="AK35" i="2"/>
  <c r="AK37" i="2"/>
  <c r="AK39" i="2"/>
  <c r="AK41" i="2"/>
  <c r="AK43" i="2"/>
  <c r="AK45" i="2"/>
  <c r="AK47" i="2"/>
  <c r="AK49" i="2"/>
  <c r="AK51" i="2"/>
  <c r="AK53" i="2"/>
  <c r="AK55" i="2"/>
  <c r="AK57" i="2"/>
  <c r="AK59" i="2"/>
  <c r="AL23" i="2"/>
  <c r="AL25" i="2"/>
  <c r="AL27" i="2"/>
  <c r="AL29" i="2"/>
  <c r="AL31" i="2"/>
  <c r="AL33" i="2"/>
  <c r="AL35" i="2"/>
  <c r="AL37" i="2"/>
  <c r="AL39" i="2"/>
  <c r="AL41" i="2"/>
  <c r="AL43" i="2"/>
  <c r="AL45" i="2"/>
  <c r="AL47" i="2"/>
  <c r="AL49" i="2"/>
  <c r="AL51" i="2"/>
  <c r="AL53" i="2"/>
  <c r="AL55" i="2"/>
  <c r="AL57" i="2"/>
  <c r="AL59" i="2"/>
  <c r="AM23" i="2"/>
  <c r="AM25" i="2"/>
  <c r="AM27" i="2"/>
  <c r="AM29" i="2"/>
  <c r="AM31" i="2"/>
  <c r="AM33" i="2"/>
  <c r="AM35" i="2"/>
  <c r="AM37" i="2"/>
  <c r="AM39" i="2"/>
  <c r="AM41" i="2"/>
  <c r="AM43" i="2"/>
  <c r="AM45" i="2"/>
  <c r="AM47" i="2"/>
  <c r="AM49" i="2"/>
  <c r="AM53" i="2"/>
  <c r="AM55" i="2"/>
  <c r="AM57" i="2"/>
  <c r="AM59" i="2"/>
  <c r="AO23" i="2"/>
  <c r="AO25" i="2"/>
  <c r="AO27" i="2"/>
  <c r="AO29" i="2"/>
  <c r="AO31" i="2"/>
  <c r="AO33" i="2"/>
  <c r="AO35" i="2"/>
  <c r="AO37" i="2"/>
  <c r="AO39" i="2"/>
  <c r="AO41" i="2"/>
  <c r="AO43" i="2"/>
  <c r="AO45" i="2"/>
  <c r="AO47" i="2"/>
  <c r="AO49" i="2"/>
  <c r="AO51" i="2"/>
  <c r="AO53" i="2"/>
  <c r="AO55" i="2"/>
  <c r="AO57" i="2"/>
  <c r="AO59" i="2"/>
  <c r="R41" i="2"/>
  <c r="D26" i="1"/>
  <c r="H25" i="16"/>
  <c r="X23" i="16"/>
  <c r="X25" i="16"/>
  <c r="X27" i="16"/>
  <c r="X29" i="16"/>
  <c r="X31" i="16"/>
  <c r="X33" i="16"/>
  <c r="X35" i="16"/>
  <c r="X37" i="16"/>
  <c r="X39" i="16"/>
  <c r="X41" i="16"/>
  <c r="X43" i="16"/>
  <c r="X45" i="16"/>
  <c r="X47" i="16"/>
  <c r="X49" i="16"/>
  <c r="X51" i="16"/>
  <c r="X53" i="16"/>
  <c r="X55" i="16"/>
  <c r="X57" i="16"/>
  <c r="X59" i="16"/>
  <c r="H27" i="16"/>
  <c r="Y23" i="16"/>
  <c r="Y25" i="16"/>
  <c r="Y27" i="16"/>
  <c r="Y29" i="16"/>
  <c r="Y31" i="16"/>
  <c r="Y33" i="16"/>
  <c r="Y35" i="16"/>
  <c r="Y37" i="16"/>
  <c r="Y39" i="16"/>
  <c r="Y41" i="16"/>
  <c r="Y43" i="16"/>
  <c r="Y45" i="16"/>
  <c r="Y47" i="16"/>
  <c r="Y49" i="16"/>
  <c r="Y51" i="16"/>
  <c r="Y53" i="16"/>
  <c r="Y55" i="16"/>
  <c r="Y57" i="16"/>
  <c r="Y59" i="16"/>
  <c r="H29" i="16"/>
  <c r="Z23" i="16"/>
  <c r="Z25" i="16"/>
  <c r="Z27" i="16"/>
  <c r="Z29" i="16"/>
  <c r="Z31" i="16"/>
  <c r="Z33" i="16"/>
  <c r="Z35" i="16"/>
  <c r="Z37" i="16"/>
  <c r="Z39" i="16"/>
  <c r="Z41" i="16"/>
  <c r="Z43" i="16"/>
  <c r="Z45" i="16"/>
  <c r="Z47" i="16"/>
  <c r="Z49" i="16"/>
  <c r="Z51" i="16"/>
  <c r="Z53" i="16"/>
  <c r="Z55" i="16"/>
  <c r="Z57" i="16"/>
  <c r="Z59" i="16"/>
  <c r="H31" i="16"/>
  <c r="AA23" i="16"/>
  <c r="AA25" i="16"/>
  <c r="AA27" i="16"/>
  <c r="AA29" i="16"/>
  <c r="AA31" i="16"/>
  <c r="AA33" i="16"/>
  <c r="AA35" i="16"/>
  <c r="AA37" i="16"/>
  <c r="AA39" i="16"/>
  <c r="AA41" i="16"/>
  <c r="AA43" i="16"/>
  <c r="AA45" i="16"/>
  <c r="AA47" i="16"/>
  <c r="AA49" i="16"/>
  <c r="AA51" i="16"/>
  <c r="AA53" i="16"/>
  <c r="AA55" i="16"/>
  <c r="AA57" i="16"/>
  <c r="AA59" i="16"/>
  <c r="H45" i="16"/>
  <c r="AH23" i="16"/>
  <c r="AH25" i="16"/>
  <c r="AH27" i="16"/>
  <c r="AH29" i="16"/>
  <c r="AH31" i="16"/>
  <c r="AH33" i="16"/>
  <c r="AH35" i="16"/>
  <c r="AH37" i="16"/>
  <c r="AH39" i="16"/>
  <c r="AH41" i="16"/>
  <c r="AH43" i="16"/>
  <c r="AH45" i="16"/>
  <c r="AH47" i="16"/>
  <c r="AH49" i="16"/>
  <c r="AH51" i="16"/>
  <c r="AH53" i="16"/>
  <c r="AH55" i="16"/>
  <c r="AH57" i="16"/>
  <c r="AH59" i="16"/>
  <c r="H51" i="16"/>
  <c r="AK23" i="16"/>
  <c r="AK25" i="16"/>
  <c r="AK27" i="16"/>
  <c r="AK29" i="16"/>
  <c r="AK31" i="16"/>
  <c r="AK33" i="16"/>
  <c r="AK35" i="16"/>
  <c r="AK37" i="16"/>
  <c r="AK39" i="16"/>
  <c r="AK41" i="16"/>
  <c r="AK43" i="16"/>
  <c r="AK45" i="16"/>
  <c r="AK47" i="16"/>
  <c r="AK49" i="16"/>
  <c r="AK51" i="16"/>
  <c r="AK53" i="16"/>
  <c r="AK55" i="16"/>
  <c r="AK57" i="16"/>
  <c r="AK59" i="16"/>
  <c r="H53" i="16"/>
  <c r="AL23" i="16"/>
  <c r="AL25" i="16"/>
  <c r="AL27" i="16"/>
  <c r="AL29" i="16"/>
  <c r="AL31" i="16"/>
  <c r="AL33" i="16"/>
  <c r="AL35" i="16"/>
  <c r="AL37" i="16"/>
  <c r="AL39" i="16"/>
  <c r="AL41" i="16"/>
  <c r="AL43" i="16"/>
  <c r="AL45" i="16"/>
  <c r="AL47" i="16"/>
  <c r="AL49" i="16"/>
  <c r="AL51" i="16"/>
  <c r="AL53" i="16"/>
  <c r="AL55" i="16"/>
  <c r="AL57" i="16"/>
  <c r="AL59" i="16"/>
  <c r="Y23" i="15"/>
  <c r="Y25" i="15"/>
  <c r="Y27" i="15"/>
  <c r="Y29" i="15"/>
  <c r="Y31" i="15"/>
  <c r="Y33" i="15"/>
  <c r="Y35" i="15"/>
  <c r="Y37" i="15"/>
  <c r="Y39" i="15"/>
  <c r="Y41" i="15"/>
  <c r="Y43" i="15"/>
  <c r="Y45" i="15"/>
  <c r="Y47" i="15"/>
  <c r="Y49" i="15"/>
  <c r="Y51" i="15"/>
  <c r="Y53" i="15"/>
  <c r="Y55" i="15"/>
  <c r="Y57" i="15"/>
  <c r="Y59" i="15"/>
  <c r="Z23" i="15"/>
  <c r="Z25" i="15"/>
  <c r="Z27" i="15"/>
  <c r="Z29" i="15"/>
  <c r="Z31" i="15"/>
  <c r="Z33" i="15"/>
  <c r="Z35" i="15"/>
  <c r="Z37" i="15"/>
  <c r="Z39" i="15"/>
  <c r="Z41" i="15"/>
  <c r="Z43" i="15"/>
  <c r="Z45" i="15"/>
  <c r="Z47" i="15"/>
  <c r="Z49" i="15"/>
  <c r="Z51" i="15"/>
  <c r="Z53" i="15"/>
  <c r="Z55" i="15"/>
  <c r="Z57" i="15"/>
  <c r="Z59" i="15"/>
  <c r="AA23" i="15"/>
  <c r="AA25" i="15"/>
  <c r="AA27" i="15"/>
  <c r="AA29" i="15"/>
  <c r="AA31" i="15"/>
  <c r="AA33" i="15"/>
  <c r="AA35" i="15"/>
  <c r="AA37" i="15"/>
  <c r="AA39" i="15"/>
  <c r="AA41" i="15"/>
  <c r="AA43" i="15"/>
  <c r="AA45" i="15"/>
  <c r="AA47" i="15"/>
  <c r="AA49" i="15"/>
  <c r="AA51" i="15"/>
  <c r="AA53" i="15"/>
  <c r="AA55" i="15"/>
  <c r="AA57" i="15"/>
  <c r="AA59" i="15"/>
  <c r="AH23" i="15"/>
  <c r="AH25" i="15"/>
  <c r="AH27" i="15"/>
  <c r="AH29" i="15"/>
  <c r="AH31" i="15"/>
  <c r="AH33" i="15"/>
  <c r="AH35" i="15"/>
  <c r="AH37" i="15"/>
  <c r="AH39" i="15"/>
  <c r="AH41" i="15"/>
  <c r="AH43" i="15"/>
  <c r="AH45" i="15"/>
  <c r="AH47" i="15"/>
  <c r="AH49" i="15"/>
  <c r="AH51" i="15"/>
  <c r="AH53" i="15"/>
  <c r="AH55" i="15"/>
  <c r="AH57" i="15"/>
  <c r="AH59" i="15"/>
  <c r="AK23" i="15"/>
  <c r="AK25" i="15"/>
  <c r="AK27" i="15"/>
  <c r="AK29" i="15"/>
  <c r="AK31" i="15"/>
  <c r="AK33" i="15"/>
  <c r="AK35" i="15"/>
  <c r="AK37" i="15"/>
  <c r="AK39" i="15"/>
  <c r="AK41" i="15"/>
  <c r="AK43" i="15"/>
  <c r="AK45" i="15"/>
  <c r="AK47" i="15"/>
  <c r="AK49" i="15"/>
  <c r="AK51" i="15"/>
  <c r="AK53" i="15"/>
  <c r="AK55" i="15"/>
  <c r="AK57" i="15"/>
  <c r="AK59" i="15"/>
  <c r="AL23" i="15"/>
  <c r="AL25" i="15"/>
  <c r="AL27" i="15"/>
  <c r="AL29" i="15"/>
  <c r="AL31" i="15"/>
  <c r="AL33" i="15"/>
  <c r="AL35" i="15"/>
  <c r="AL37" i="15"/>
  <c r="AL39" i="15"/>
  <c r="AL41" i="15"/>
  <c r="AL43" i="15"/>
  <c r="AL45" i="15"/>
  <c r="AL47" i="15"/>
  <c r="AL49" i="15"/>
  <c r="AL51" i="15"/>
  <c r="AL53" i="15"/>
  <c r="AL55" i="15"/>
  <c r="AL57" i="15"/>
  <c r="AL59" i="15"/>
  <c r="H25" i="14"/>
  <c r="X23" i="14"/>
  <c r="X25" i="14"/>
  <c r="X27" i="14"/>
  <c r="X29" i="14"/>
  <c r="X31" i="14"/>
  <c r="X33" i="14"/>
  <c r="X35" i="14"/>
  <c r="X37" i="14"/>
  <c r="X39" i="14"/>
  <c r="X41" i="14"/>
  <c r="X43" i="14"/>
  <c r="X45" i="14"/>
  <c r="X47" i="14"/>
  <c r="X49" i="14"/>
  <c r="X51" i="14"/>
  <c r="X53" i="14"/>
  <c r="X55" i="14"/>
  <c r="X57" i="14"/>
  <c r="X59" i="14"/>
  <c r="H27" i="14"/>
  <c r="Y23" i="14"/>
  <c r="Y25" i="14"/>
  <c r="Y27" i="14"/>
  <c r="Y29" i="14"/>
  <c r="Y31" i="14"/>
  <c r="Y33" i="14"/>
  <c r="Y35" i="14"/>
  <c r="Y37" i="14"/>
  <c r="Y39" i="14"/>
  <c r="Y41" i="14"/>
  <c r="Y43" i="14"/>
  <c r="Y45" i="14"/>
  <c r="Y47" i="14"/>
  <c r="Y49" i="14"/>
  <c r="Y51" i="14"/>
  <c r="Y53" i="14"/>
  <c r="Y55" i="14"/>
  <c r="Y57" i="14"/>
  <c r="Y59" i="14"/>
  <c r="H29" i="14"/>
  <c r="Z23" i="14"/>
  <c r="Z25" i="14"/>
  <c r="Z27" i="14"/>
  <c r="Z29" i="14"/>
  <c r="Z31" i="14"/>
  <c r="Z33" i="14"/>
  <c r="Z35" i="14"/>
  <c r="Z37" i="14"/>
  <c r="Z39" i="14"/>
  <c r="Z41" i="14"/>
  <c r="Z43" i="14"/>
  <c r="Z45" i="14"/>
  <c r="Z47" i="14"/>
  <c r="Z49" i="14"/>
  <c r="Z51" i="14"/>
  <c r="Z53" i="14"/>
  <c r="Z55" i="14"/>
  <c r="Z57" i="14"/>
  <c r="Z59" i="14"/>
  <c r="H31" i="14"/>
  <c r="AA23" i="14"/>
  <c r="AA25" i="14"/>
  <c r="AA27" i="14"/>
  <c r="AA29" i="14"/>
  <c r="AA31" i="14"/>
  <c r="AA33" i="14"/>
  <c r="AA35" i="14"/>
  <c r="AA37" i="14"/>
  <c r="AA39" i="14"/>
  <c r="AA41" i="14"/>
  <c r="AA43" i="14"/>
  <c r="AA45" i="14"/>
  <c r="AA47" i="14"/>
  <c r="AA49" i="14"/>
  <c r="AA51" i="14"/>
  <c r="AA53" i="14"/>
  <c r="AA55" i="14"/>
  <c r="AA57" i="14"/>
  <c r="AA59" i="14"/>
  <c r="H45" i="14"/>
  <c r="AH23" i="14"/>
  <c r="AH25" i="14"/>
  <c r="AH27" i="14"/>
  <c r="AH29" i="14"/>
  <c r="AH31" i="14"/>
  <c r="AH33" i="14"/>
  <c r="AH35" i="14"/>
  <c r="AH37" i="14"/>
  <c r="AH39" i="14"/>
  <c r="AH41" i="14"/>
  <c r="AH43" i="14"/>
  <c r="AH45" i="14"/>
  <c r="AH47" i="14"/>
  <c r="AH49" i="14"/>
  <c r="AH51" i="14"/>
  <c r="AH53" i="14"/>
  <c r="AH55" i="14"/>
  <c r="AH57" i="14"/>
  <c r="AH59" i="14"/>
  <c r="H51" i="14"/>
  <c r="AK23" i="14"/>
  <c r="AK25" i="14"/>
  <c r="AK27" i="14"/>
  <c r="AK29" i="14"/>
  <c r="AK31" i="14"/>
  <c r="AK33" i="14"/>
  <c r="AK35" i="14"/>
  <c r="AK37" i="14"/>
  <c r="AK39" i="14"/>
  <c r="AK41" i="14"/>
  <c r="AK43" i="14"/>
  <c r="AK45" i="14"/>
  <c r="AK47" i="14"/>
  <c r="AK49" i="14"/>
  <c r="AK51" i="14"/>
  <c r="AK53" i="14"/>
  <c r="AK55" i="14"/>
  <c r="AK57" i="14"/>
  <c r="AK59" i="14"/>
  <c r="H53" i="14"/>
  <c r="AL23" i="14"/>
  <c r="AL25" i="14"/>
  <c r="AL27" i="14"/>
  <c r="AL29" i="14"/>
  <c r="AL31" i="14"/>
  <c r="AL33" i="14"/>
  <c r="AL35" i="14"/>
  <c r="AL37" i="14"/>
  <c r="AL39" i="14"/>
  <c r="AL41" i="14"/>
  <c r="AL43" i="14"/>
  <c r="AL45" i="14"/>
  <c r="AL47" i="14"/>
  <c r="AL49" i="14"/>
  <c r="AL51" i="14"/>
  <c r="AL53" i="14"/>
  <c r="AL55" i="14"/>
  <c r="AL57" i="14"/>
  <c r="AL59" i="14"/>
  <c r="H25" i="13"/>
  <c r="X23" i="13"/>
  <c r="X25" i="13"/>
  <c r="X27" i="13"/>
  <c r="X29" i="13"/>
  <c r="X31" i="13"/>
  <c r="X33" i="13"/>
  <c r="X35" i="13"/>
  <c r="X37" i="13"/>
  <c r="X39" i="13"/>
  <c r="X41" i="13"/>
  <c r="X43" i="13"/>
  <c r="X45" i="13"/>
  <c r="X47" i="13"/>
  <c r="X49" i="13"/>
  <c r="X51" i="13"/>
  <c r="X53" i="13"/>
  <c r="X55" i="13"/>
  <c r="X57" i="13"/>
  <c r="X59" i="13"/>
  <c r="H27" i="13"/>
  <c r="Y23" i="13"/>
  <c r="Y25" i="13"/>
  <c r="Y27" i="13"/>
  <c r="Y29" i="13"/>
  <c r="Y31" i="13"/>
  <c r="Y33" i="13"/>
  <c r="Y35" i="13"/>
  <c r="Y37" i="13"/>
  <c r="Y39" i="13"/>
  <c r="Y41" i="13"/>
  <c r="Y43" i="13"/>
  <c r="Y45" i="13"/>
  <c r="Y47" i="13"/>
  <c r="Y49" i="13"/>
  <c r="Y51" i="13"/>
  <c r="Y53" i="13"/>
  <c r="Y55" i="13"/>
  <c r="Y57" i="13"/>
  <c r="Y59" i="13"/>
  <c r="H29" i="13"/>
  <c r="Z23" i="13"/>
  <c r="Z25" i="13"/>
  <c r="Z27" i="13"/>
  <c r="Z29" i="13"/>
  <c r="Z31" i="13"/>
  <c r="Z33" i="13"/>
  <c r="Z35" i="13"/>
  <c r="Z37" i="13"/>
  <c r="Z39" i="13"/>
  <c r="Z41" i="13"/>
  <c r="Z43" i="13"/>
  <c r="Z45" i="13"/>
  <c r="Z47" i="13"/>
  <c r="Z49" i="13"/>
  <c r="Z51" i="13"/>
  <c r="Z53" i="13"/>
  <c r="Z55" i="13"/>
  <c r="Z57" i="13"/>
  <c r="Z59" i="13"/>
  <c r="H31" i="13"/>
  <c r="AA23" i="13"/>
  <c r="AA25" i="13"/>
  <c r="AA27" i="13"/>
  <c r="AA29" i="13"/>
  <c r="AA31" i="13"/>
  <c r="AA33" i="13"/>
  <c r="AA35" i="13"/>
  <c r="AA37" i="13"/>
  <c r="AA39" i="13"/>
  <c r="AA41" i="13"/>
  <c r="AA43" i="13"/>
  <c r="AA45" i="13"/>
  <c r="AA47" i="13"/>
  <c r="AA49" i="13"/>
  <c r="AA51" i="13"/>
  <c r="AA53" i="13"/>
  <c r="AA55" i="13"/>
  <c r="AA57" i="13"/>
  <c r="AA59" i="13"/>
  <c r="H45" i="13"/>
  <c r="AH23" i="13"/>
  <c r="AH25" i="13"/>
  <c r="AH27" i="13"/>
  <c r="AH29" i="13"/>
  <c r="AH31" i="13"/>
  <c r="AH33" i="13"/>
  <c r="AH35" i="13"/>
  <c r="AH37" i="13"/>
  <c r="AH39" i="13"/>
  <c r="AH41" i="13"/>
  <c r="AH43" i="13"/>
  <c r="AH45" i="13"/>
  <c r="AH47" i="13"/>
  <c r="AH49" i="13"/>
  <c r="AH51" i="13"/>
  <c r="AH53" i="13"/>
  <c r="AH55" i="13"/>
  <c r="AH57" i="13"/>
  <c r="AH59" i="13"/>
  <c r="H51" i="13"/>
  <c r="AK23" i="13"/>
  <c r="AK25" i="13"/>
  <c r="AK27" i="13"/>
  <c r="AK29" i="13"/>
  <c r="AK31" i="13"/>
  <c r="AK33" i="13"/>
  <c r="AK35" i="13"/>
  <c r="AK37" i="13"/>
  <c r="AK39" i="13"/>
  <c r="AK41" i="13"/>
  <c r="AK43" i="13"/>
  <c r="AK45" i="13"/>
  <c r="AK47" i="13"/>
  <c r="AK49" i="13"/>
  <c r="AK51" i="13"/>
  <c r="AK53" i="13"/>
  <c r="AK55" i="13"/>
  <c r="AK57" i="13"/>
  <c r="AK59" i="13"/>
  <c r="H53" i="13"/>
  <c r="AL23" i="13"/>
  <c r="AL25" i="13"/>
  <c r="AL27" i="13"/>
  <c r="AL29" i="13"/>
  <c r="AL31" i="13"/>
  <c r="AL33" i="13"/>
  <c r="AL35" i="13"/>
  <c r="AL37" i="13"/>
  <c r="AL39" i="13"/>
  <c r="AL41" i="13"/>
  <c r="AL43" i="13"/>
  <c r="AL45" i="13"/>
  <c r="AL47" i="13"/>
  <c r="AL49" i="13"/>
  <c r="AL51" i="13"/>
  <c r="AL53" i="13"/>
  <c r="AL55" i="13"/>
  <c r="AL57" i="13"/>
  <c r="AL59" i="13"/>
  <c r="C11" i="11"/>
  <c r="D111" i="11"/>
  <c r="D97" i="11"/>
  <c r="D83" i="11"/>
  <c r="D69" i="11"/>
  <c r="H23" i="17"/>
  <c r="W43" i="17"/>
  <c r="W45" i="17"/>
  <c r="W47" i="17"/>
  <c r="W49" i="17"/>
  <c r="W51" i="17"/>
  <c r="W53" i="17"/>
  <c r="W55" i="17"/>
  <c r="W57" i="17"/>
  <c r="W59" i="17"/>
  <c r="H25" i="17"/>
  <c r="X23" i="17"/>
  <c r="X25" i="17"/>
  <c r="X27" i="17"/>
  <c r="X29" i="17"/>
  <c r="X31" i="17"/>
  <c r="X33" i="17"/>
  <c r="X35" i="17"/>
  <c r="X37" i="17"/>
  <c r="X39" i="17"/>
  <c r="X41" i="17"/>
  <c r="X43" i="17"/>
  <c r="X45" i="17"/>
  <c r="X47" i="17"/>
  <c r="X49" i="17"/>
  <c r="X51" i="17"/>
  <c r="X53" i="17"/>
  <c r="X55" i="17"/>
  <c r="X57" i="17"/>
  <c r="X59" i="17"/>
  <c r="H27" i="17"/>
  <c r="Y23" i="17"/>
  <c r="Y25" i="17"/>
  <c r="Y27" i="17"/>
  <c r="Y29" i="17"/>
  <c r="Y31" i="17"/>
  <c r="Y33" i="17"/>
  <c r="Y35" i="17"/>
  <c r="Y37" i="17"/>
  <c r="Y39" i="17"/>
  <c r="Y41" i="17"/>
  <c r="Y43" i="17"/>
  <c r="Y45" i="17"/>
  <c r="Y47" i="17"/>
  <c r="Y49" i="17"/>
  <c r="Y51" i="17"/>
  <c r="Y53" i="17"/>
  <c r="Y55" i="17"/>
  <c r="Y57" i="17"/>
  <c r="Y59" i="17"/>
  <c r="H29" i="17"/>
  <c r="Z23" i="17"/>
  <c r="Z25" i="17"/>
  <c r="Z27" i="17"/>
  <c r="Z29" i="17"/>
  <c r="Z31" i="17"/>
  <c r="Z33" i="17"/>
  <c r="Z35" i="17"/>
  <c r="Z37" i="17"/>
  <c r="Z39" i="17"/>
  <c r="Z41" i="17"/>
  <c r="Z43" i="17"/>
  <c r="Z45" i="17"/>
  <c r="Z47" i="17"/>
  <c r="Z49" i="17"/>
  <c r="Z51" i="17"/>
  <c r="Z53" i="17"/>
  <c r="Z55" i="17"/>
  <c r="Z57" i="17"/>
  <c r="Z59" i="17"/>
  <c r="H31" i="17"/>
  <c r="AA23" i="17"/>
  <c r="AA25" i="17"/>
  <c r="AA27" i="17"/>
  <c r="AA29" i="17"/>
  <c r="AA31" i="17"/>
  <c r="AA33" i="17"/>
  <c r="AA35" i="17"/>
  <c r="AA37" i="17"/>
  <c r="AA39" i="17"/>
  <c r="AA41" i="17"/>
  <c r="AA43" i="17"/>
  <c r="AA45" i="17"/>
  <c r="AA47" i="17"/>
  <c r="AA49" i="17"/>
  <c r="AA51" i="17"/>
  <c r="AA53" i="17"/>
  <c r="AA55" i="17"/>
  <c r="AA57" i="17"/>
  <c r="AA59" i="17"/>
  <c r="H33" i="17"/>
  <c r="AB23" i="17"/>
  <c r="AB25" i="17"/>
  <c r="AB27" i="17"/>
  <c r="AB29" i="17"/>
  <c r="AB31" i="17"/>
  <c r="AB33" i="17"/>
  <c r="AB35" i="17"/>
  <c r="AB37" i="17"/>
  <c r="AB39" i="17"/>
  <c r="AB41" i="17"/>
  <c r="AB43" i="17"/>
  <c r="AB45" i="17"/>
  <c r="AB47" i="17"/>
  <c r="AB49" i="17"/>
  <c r="AB51" i="17"/>
  <c r="AB53" i="17"/>
  <c r="AB55" i="17"/>
  <c r="AB57" i="17"/>
  <c r="AB59" i="17"/>
  <c r="H35" i="17"/>
  <c r="AC23" i="17"/>
  <c r="AC25" i="17"/>
  <c r="AC27" i="17"/>
  <c r="AC29" i="17"/>
  <c r="AC31" i="17"/>
  <c r="AC33" i="17"/>
  <c r="AC35" i="17"/>
  <c r="AC37" i="17"/>
  <c r="AC39" i="17"/>
  <c r="AC41" i="17"/>
  <c r="AC43" i="17"/>
  <c r="AC45" i="17"/>
  <c r="AC47" i="17"/>
  <c r="AC49" i="17"/>
  <c r="AC51" i="17"/>
  <c r="AC53" i="17"/>
  <c r="AC55" i="17"/>
  <c r="AC57" i="17"/>
  <c r="AC59" i="17"/>
  <c r="H37" i="17"/>
  <c r="AD23" i="17"/>
  <c r="AD25" i="17"/>
  <c r="AD27" i="17"/>
  <c r="AD29" i="17"/>
  <c r="AD31" i="17"/>
  <c r="AD33" i="17"/>
  <c r="AD35" i="17"/>
  <c r="AD37" i="17"/>
  <c r="AD39" i="17"/>
  <c r="AD41" i="17"/>
  <c r="AD43" i="17"/>
  <c r="AD45" i="17"/>
  <c r="AD47" i="17"/>
  <c r="AD49" i="17"/>
  <c r="AD51" i="17"/>
  <c r="AD53" i="17"/>
  <c r="AD55" i="17"/>
  <c r="AD57" i="17"/>
  <c r="AD59" i="17"/>
  <c r="H39" i="17"/>
  <c r="AE23" i="17"/>
  <c r="AE25" i="17"/>
  <c r="AE27" i="17"/>
  <c r="AE29" i="17"/>
  <c r="AE31" i="17"/>
  <c r="AE33" i="17"/>
  <c r="AE35" i="17"/>
  <c r="AE37" i="17"/>
  <c r="AE39" i="17"/>
  <c r="AE41" i="17"/>
  <c r="AE43" i="17"/>
  <c r="AE45" i="17"/>
  <c r="AE47" i="17"/>
  <c r="AE49" i="17"/>
  <c r="AE51" i="17"/>
  <c r="AE53" i="17"/>
  <c r="AE55" i="17"/>
  <c r="AE57" i="17"/>
  <c r="AE59" i="17"/>
  <c r="H43" i="17"/>
  <c r="AG23" i="17"/>
  <c r="AG25" i="17"/>
  <c r="AG27" i="17"/>
  <c r="AG29" i="17"/>
  <c r="AG31" i="17"/>
  <c r="AG33" i="17"/>
  <c r="AG35" i="17"/>
  <c r="AG37" i="17"/>
  <c r="AG39" i="17"/>
  <c r="AG41" i="17"/>
  <c r="AG43" i="17"/>
  <c r="AG45" i="17"/>
  <c r="AG47" i="17"/>
  <c r="AG49" i="17"/>
  <c r="AG51" i="17"/>
  <c r="AG53" i="17"/>
  <c r="AG55" i="17"/>
  <c r="AG57" i="17"/>
  <c r="AG59" i="17"/>
  <c r="H45" i="17"/>
  <c r="AH23" i="17"/>
  <c r="AH25" i="17"/>
  <c r="AH27" i="17"/>
  <c r="AH29" i="17"/>
  <c r="AH31" i="17"/>
  <c r="AH33" i="17"/>
  <c r="AH35" i="17"/>
  <c r="AH37" i="17"/>
  <c r="AH39" i="17"/>
  <c r="AH41" i="17"/>
  <c r="AH43" i="17"/>
  <c r="AH45" i="17"/>
  <c r="AH47" i="17"/>
  <c r="AH49" i="17"/>
  <c r="AH51" i="17"/>
  <c r="AH53" i="17"/>
  <c r="AH55" i="17"/>
  <c r="AH57" i="17"/>
  <c r="AH59" i="17"/>
  <c r="H51" i="17"/>
  <c r="AK23" i="17"/>
  <c r="AK25" i="17"/>
  <c r="AK27" i="17"/>
  <c r="AK29" i="17"/>
  <c r="AK31" i="17"/>
  <c r="AK33" i="17"/>
  <c r="AK35" i="17"/>
  <c r="AK37" i="17"/>
  <c r="AK39" i="17"/>
  <c r="AK41" i="17"/>
  <c r="AK43" i="17"/>
  <c r="AK45" i="17"/>
  <c r="AK47" i="17"/>
  <c r="AK49" i="17"/>
  <c r="AK51" i="17"/>
  <c r="AK53" i="17"/>
  <c r="AK55" i="17"/>
  <c r="AK57" i="17"/>
  <c r="AK59" i="17"/>
  <c r="H53" i="17"/>
  <c r="AL23" i="17"/>
  <c r="AL25" i="17"/>
  <c r="AL27" i="17"/>
  <c r="AL29" i="17"/>
  <c r="AL31" i="17"/>
  <c r="AL33" i="17"/>
  <c r="AL35" i="17"/>
  <c r="AL37" i="17"/>
  <c r="AL39" i="17"/>
  <c r="AL41" i="17"/>
  <c r="AL43" i="17"/>
  <c r="AL45" i="17"/>
  <c r="AL47" i="17"/>
  <c r="AL49" i="17"/>
  <c r="AL51" i="17"/>
  <c r="AL53" i="17"/>
  <c r="AL55" i="17"/>
  <c r="AL57" i="17"/>
  <c r="AL59" i="17"/>
  <c r="H55" i="17"/>
  <c r="AM23" i="17"/>
  <c r="AM25" i="17"/>
  <c r="AM27" i="17"/>
  <c r="AM29" i="17"/>
  <c r="AM31" i="17"/>
  <c r="AM33" i="17"/>
  <c r="AM35" i="17"/>
  <c r="AM37" i="17"/>
  <c r="AM39" i="17"/>
  <c r="AM41" i="17"/>
  <c r="AM43" i="17"/>
  <c r="AM45" i="17"/>
  <c r="AM47" i="17"/>
  <c r="AM49" i="17"/>
  <c r="AM51" i="17"/>
  <c r="AM53" i="17"/>
  <c r="AM55" i="17"/>
  <c r="AM57" i="17"/>
  <c r="AM59" i="17"/>
  <c r="H59" i="17"/>
  <c r="AO23" i="17"/>
  <c r="AO25" i="17"/>
  <c r="AO27" i="17"/>
  <c r="AO29" i="17"/>
  <c r="AO31" i="17"/>
  <c r="AO33" i="17"/>
  <c r="AO35" i="17"/>
  <c r="AO37" i="17"/>
  <c r="AO39" i="17"/>
  <c r="AO41" i="17"/>
  <c r="AO43" i="17"/>
  <c r="AO45" i="17"/>
  <c r="AO47" i="17"/>
  <c r="AO49" i="17"/>
  <c r="AO51" i="17"/>
  <c r="AO53" i="17"/>
  <c r="AO55" i="17"/>
  <c r="AO57" i="17"/>
  <c r="AO59" i="17"/>
  <c r="B11" i="17"/>
  <c r="F7" i="17" s="1"/>
  <c r="R35" i="17"/>
  <c r="R37" i="17"/>
  <c r="R41" i="17"/>
  <c r="R47" i="17"/>
  <c r="R49" i="17"/>
  <c r="R55" i="17"/>
  <c r="R57" i="17"/>
  <c r="H23" i="2"/>
  <c r="H25" i="2"/>
  <c r="H27" i="2"/>
  <c r="H29" i="2"/>
  <c r="H31" i="2"/>
  <c r="H33" i="2"/>
  <c r="H35" i="2"/>
  <c r="H39" i="2"/>
  <c r="H43" i="2"/>
  <c r="H45" i="2"/>
  <c r="H51" i="2"/>
  <c r="H53" i="2"/>
  <c r="H55" i="2"/>
  <c r="H59" i="2"/>
  <c r="H23" i="13"/>
  <c r="W23" i="13"/>
  <c r="W25" i="13"/>
  <c r="W27" i="13"/>
  <c r="W29" i="13"/>
  <c r="W31" i="13"/>
  <c r="W33" i="13"/>
  <c r="W35" i="13"/>
  <c r="W37" i="13"/>
  <c r="W39" i="13"/>
  <c r="W41" i="13"/>
  <c r="W43" i="13"/>
  <c r="W45" i="13"/>
  <c r="W47" i="13"/>
  <c r="W49" i="13"/>
  <c r="W51" i="13"/>
  <c r="W53" i="13"/>
  <c r="W55" i="13"/>
  <c r="W57" i="13"/>
  <c r="W59" i="13"/>
  <c r="H33" i="13"/>
  <c r="AB23" i="13"/>
  <c r="AB25" i="13"/>
  <c r="AB27" i="13"/>
  <c r="AB29" i="13"/>
  <c r="AB31" i="13"/>
  <c r="AB33" i="13"/>
  <c r="AB35" i="13"/>
  <c r="AB37" i="13"/>
  <c r="AB39" i="13"/>
  <c r="AB41" i="13"/>
  <c r="AB43" i="13"/>
  <c r="AB45" i="13"/>
  <c r="AB47" i="13"/>
  <c r="AB49" i="13"/>
  <c r="AB51" i="13"/>
  <c r="AB53" i="13"/>
  <c r="AB55" i="13"/>
  <c r="AB57" i="13"/>
  <c r="AB59" i="13"/>
  <c r="H35" i="13"/>
  <c r="AC23" i="13"/>
  <c r="AC25" i="13"/>
  <c r="AC27" i="13"/>
  <c r="AC29" i="13"/>
  <c r="AC31" i="13"/>
  <c r="AC33" i="13"/>
  <c r="AC35" i="13"/>
  <c r="AC37" i="13"/>
  <c r="AC39" i="13"/>
  <c r="AC41" i="13"/>
  <c r="AC43" i="13"/>
  <c r="AC45" i="13"/>
  <c r="AC47" i="13"/>
  <c r="AC49" i="13"/>
  <c r="AC51" i="13"/>
  <c r="AC53" i="13"/>
  <c r="AC55" i="13"/>
  <c r="AC57" i="13"/>
  <c r="AC59" i="13"/>
  <c r="H37" i="13"/>
  <c r="AD23" i="13"/>
  <c r="AD25" i="13"/>
  <c r="AD27" i="13"/>
  <c r="AD29" i="13"/>
  <c r="AD31" i="13"/>
  <c r="AD33" i="13"/>
  <c r="AD35" i="13"/>
  <c r="AD37" i="13"/>
  <c r="AD39" i="13"/>
  <c r="AD41" i="13"/>
  <c r="AD43" i="13"/>
  <c r="AD45" i="13"/>
  <c r="AD47" i="13"/>
  <c r="AD49" i="13"/>
  <c r="AD51" i="13"/>
  <c r="AD53" i="13"/>
  <c r="AD55" i="13"/>
  <c r="AD57" i="13"/>
  <c r="AD59" i="13"/>
  <c r="H39" i="13"/>
  <c r="AE23" i="13"/>
  <c r="AE25" i="13"/>
  <c r="AE27" i="13"/>
  <c r="AE29" i="13"/>
  <c r="AE31" i="13"/>
  <c r="AE33" i="13"/>
  <c r="AE35" i="13"/>
  <c r="AE37" i="13"/>
  <c r="AE39" i="13"/>
  <c r="AE41" i="13"/>
  <c r="AE43" i="13"/>
  <c r="AE45" i="13"/>
  <c r="AE47" i="13"/>
  <c r="AE49" i="13"/>
  <c r="AE51" i="13"/>
  <c r="AE53" i="13"/>
  <c r="AE55" i="13"/>
  <c r="AE57" i="13"/>
  <c r="AE59" i="13"/>
  <c r="H43" i="13"/>
  <c r="AG23" i="13"/>
  <c r="AG25" i="13"/>
  <c r="AG27" i="13"/>
  <c r="AG29" i="13"/>
  <c r="AG31" i="13"/>
  <c r="AG33" i="13"/>
  <c r="AG35" i="13"/>
  <c r="AG37" i="13"/>
  <c r="AG39" i="13"/>
  <c r="AG41" i="13"/>
  <c r="AG43" i="13"/>
  <c r="AG45" i="13"/>
  <c r="AG47" i="13"/>
  <c r="AG49" i="13"/>
  <c r="AG51" i="13"/>
  <c r="AG53" i="13"/>
  <c r="AG55" i="13"/>
  <c r="AG57" i="13"/>
  <c r="AG59" i="13"/>
  <c r="H55" i="13"/>
  <c r="AM23" i="13"/>
  <c r="AM25" i="13"/>
  <c r="AM27" i="13"/>
  <c r="AM29" i="13"/>
  <c r="AM31" i="13"/>
  <c r="AM33" i="13"/>
  <c r="AM35" i="13"/>
  <c r="AM37" i="13"/>
  <c r="AM39" i="13"/>
  <c r="AM41" i="13"/>
  <c r="AM43" i="13"/>
  <c r="AM45" i="13"/>
  <c r="AM47" i="13"/>
  <c r="AM49" i="13"/>
  <c r="AM51" i="13"/>
  <c r="AM53" i="13"/>
  <c r="AM55" i="13"/>
  <c r="AM57" i="13"/>
  <c r="AM59" i="13"/>
  <c r="H59" i="13"/>
  <c r="AO23" i="13"/>
  <c r="AO25" i="13"/>
  <c r="AO27" i="13"/>
  <c r="AO29" i="13"/>
  <c r="AO31" i="13"/>
  <c r="AO33" i="13"/>
  <c r="AO35" i="13"/>
  <c r="AO37" i="13"/>
  <c r="AO39" i="13"/>
  <c r="AO41" i="13"/>
  <c r="AO43" i="13"/>
  <c r="AO45" i="13"/>
  <c r="AO47" i="13"/>
  <c r="AO49" i="13"/>
  <c r="AO51" i="13"/>
  <c r="AO53" i="13"/>
  <c r="AO55" i="13"/>
  <c r="AO57" i="13"/>
  <c r="AO59" i="13"/>
  <c r="H23" i="14"/>
  <c r="W23" i="14"/>
  <c r="W25" i="14"/>
  <c r="W27" i="14"/>
  <c r="W29" i="14"/>
  <c r="W31" i="14"/>
  <c r="W33" i="14"/>
  <c r="W35" i="14"/>
  <c r="W37" i="14"/>
  <c r="W39" i="14"/>
  <c r="W41" i="14"/>
  <c r="W43" i="14"/>
  <c r="W45" i="14"/>
  <c r="W47" i="14"/>
  <c r="W49" i="14"/>
  <c r="W51" i="14"/>
  <c r="W53" i="14"/>
  <c r="W55" i="14"/>
  <c r="W57" i="14"/>
  <c r="W59" i="14"/>
  <c r="H33" i="14"/>
  <c r="AB23" i="14"/>
  <c r="AB25" i="14"/>
  <c r="AB27" i="14"/>
  <c r="AB29" i="14"/>
  <c r="AB31" i="14"/>
  <c r="AB33" i="14"/>
  <c r="AB35" i="14"/>
  <c r="AB37" i="14"/>
  <c r="AB39" i="14"/>
  <c r="AB41" i="14"/>
  <c r="AB43" i="14"/>
  <c r="AB45" i="14"/>
  <c r="AB47" i="14"/>
  <c r="AB49" i="14"/>
  <c r="AB51" i="14"/>
  <c r="AB53" i="14"/>
  <c r="AB55" i="14"/>
  <c r="AB57" i="14"/>
  <c r="AB59" i="14"/>
  <c r="H35" i="14"/>
  <c r="AC23" i="14"/>
  <c r="AC25" i="14"/>
  <c r="AC27" i="14"/>
  <c r="AC29" i="14"/>
  <c r="AC31" i="14"/>
  <c r="AC33" i="14"/>
  <c r="AC35" i="14"/>
  <c r="AC37" i="14"/>
  <c r="AC39" i="14"/>
  <c r="AC41" i="14"/>
  <c r="AC43" i="14"/>
  <c r="AC45" i="14"/>
  <c r="AC47" i="14"/>
  <c r="AC49" i="14"/>
  <c r="AC51" i="14"/>
  <c r="AC53" i="14"/>
  <c r="AC55" i="14"/>
  <c r="AC57" i="14"/>
  <c r="AC59" i="14"/>
  <c r="H37" i="14"/>
  <c r="AD23" i="14"/>
  <c r="AD25" i="14"/>
  <c r="AD27" i="14"/>
  <c r="AD29" i="14"/>
  <c r="AD31" i="14"/>
  <c r="AD33" i="14"/>
  <c r="AD35" i="14"/>
  <c r="AD37" i="14"/>
  <c r="AD39" i="14"/>
  <c r="AD41" i="14"/>
  <c r="AD43" i="14"/>
  <c r="AD45" i="14"/>
  <c r="AD47" i="14"/>
  <c r="AD49" i="14"/>
  <c r="AD51" i="14"/>
  <c r="AD53" i="14"/>
  <c r="AD55" i="14"/>
  <c r="AD57" i="14"/>
  <c r="AD59" i="14"/>
  <c r="H39" i="14"/>
  <c r="AE23" i="14"/>
  <c r="AE25" i="14"/>
  <c r="AE27" i="14"/>
  <c r="AE29" i="14"/>
  <c r="AE31" i="14"/>
  <c r="AE33" i="14"/>
  <c r="AE35" i="14"/>
  <c r="AE37" i="14"/>
  <c r="AE39" i="14"/>
  <c r="AE41" i="14"/>
  <c r="AE43" i="14"/>
  <c r="AE45" i="14"/>
  <c r="AE47" i="14"/>
  <c r="AE49" i="14"/>
  <c r="AE51" i="14"/>
  <c r="AE53" i="14"/>
  <c r="AE55" i="14"/>
  <c r="AE57" i="14"/>
  <c r="AE59" i="14"/>
  <c r="H43" i="14"/>
  <c r="AG23" i="14"/>
  <c r="AG25" i="14"/>
  <c r="AG27" i="14"/>
  <c r="AG29" i="14"/>
  <c r="AG31" i="14"/>
  <c r="AG33" i="14"/>
  <c r="AG35" i="14"/>
  <c r="AG37" i="14"/>
  <c r="AG39" i="14"/>
  <c r="AG41" i="14"/>
  <c r="AG43" i="14"/>
  <c r="AG45" i="14"/>
  <c r="AG47" i="14"/>
  <c r="AG49" i="14"/>
  <c r="AG51" i="14"/>
  <c r="AG53" i="14"/>
  <c r="AG55" i="14"/>
  <c r="AG57" i="14"/>
  <c r="AG59" i="14"/>
  <c r="H55" i="14"/>
  <c r="AM23" i="14"/>
  <c r="AM25" i="14"/>
  <c r="AM27" i="14"/>
  <c r="AM29" i="14"/>
  <c r="AM31" i="14"/>
  <c r="AM33" i="14"/>
  <c r="AM35" i="14"/>
  <c r="AM37" i="14"/>
  <c r="AM39" i="14"/>
  <c r="AM41" i="14"/>
  <c r="AM43" i="14"/>
  <c r="AM45" i="14"/>
  <c r="AM47" i="14"/>
  <c r="AM49" i="14"/>
  <c r="AM51" i="14"/>
  <c r="AM53" i="14"/>
  <c r="AM55" i="14"/>
  <c r="AM57" i="14"/>
  <c r="AM59" i="14"/>
  <c r="H59" i="14"/>
  <c r="AO23" i="14"/>
  <c r="AO25" i="14"/>
  <c r="AO27" i="14"/>
  <c r="AO29" i="14"/>
  <c r="AO31" i="14"/>
  <c r="AO33" i="14"/>
  <c r="AO35" i="14"/>
  <c r="AO37" i="14"/>
  <c r="AO39" i="14"/>
  <c r="AO41" i="14"/>
  <c r="AO43" i="14"/>
  <c r="AO45" i="14"/>
  <c r="AO47" i="14"/>
  <c r="AO49" i="14"/>
  <c r="AO51" i="14"/>
  <c r="AO53" i="14"/>
  <c r="AO55" i="14"/>
  <c r="AO57" i="14"/>
  <c r="AO59" i="14"/>
  <c r="AB23" i="15"/>
  <c r="AB25" i="15"/>
  <c r="AB27" i="15"/>
  <c r="AB29" i="15"/>
  <c r="AB31" i="15"/>
  <c r="AB33" i="15"/>
  <c r="AB35" i="15"/>
  <c r="AB37" i="15"/>
  <c r="AB39" i="15"/>
  <c r="AB41" i="15"/>
  <c r="AB43" i="15"/>
  <c r="AB45" i="15"/>
  <c r="AB47" i="15"/>
  <c r="AB49" i="15"/>
  <c r="AB51" i="15"/>
  <c r="AB53" i="15"/>
  <c r="AB55" i="15"/>
  <c r="AB57" i="15"/>
  <c r="AB59" i="15"/>
  <c r="AC23" i="15"/>
  <c r="AC25" i="15"/>
  <c r="AC27" i="15"/>
  <c r="AC29" i="15"/>
  <c r="AC31" i="15"/>
  <c r="AC33" i="15"/>
  <c r="AC35" i="15"/>
  <c r="AC37" i="15"/>
  <c r="AC39" i="15"/>
  <c r="AC41" i="15"/>
  <c r="AC43" i="15"/>
  <c r="AC45" i="15"/>
  <c r="AC47" i="15"/>
  <c r="AC49" i="15"/>
  <c r="AC51" i="15"/>
  <c r="AC53" i="15"/>
  <c r="AC55" i="15"/>
  <c r="AC57" i="15"/>
  <c r="AC59" i="15"/>
  <c r="AD23" i="15"/>
  <c r="AD25" i="15"/>
  <c r="AD27" i="15"/>
  <c r="AD29" i="15"/>
  <c r="AD31" i="15"/>
  <c r="AD33" i="15"/>
  <c r="AD35" i="15"/>
  <c r="AD37" i="15"/>
  <c r="AD39" i="15"/>
  <c r="AD41" i="15"/>
  <c r="AD43" i="15"/>
  <c r="AD45" i="15"/>
  <c r="AD47" i="15"/>
  <c r="AD49" i="15"/>
  <c r="AD51" i="15"/>
  <c r="AD53" i="15"/>
  <c r="AD55" i="15"/>
  <c r="AD57" i="15"/>
  <c r="AD59" i="15"/>
  <c r="AE23" i="15"/>
  <c r="AE25" i="15"/>
  <c r="AE27" i="15"/>
  <c r="AE29" i="15"/>
  <c r="AE31" i="15"/>
  <c r="AE33" i="15"/>
  <c r="AE35" i="15"/>
  <c r="AE37" i="15"/>
  <c r="AE39" i="15"/>
  <c r="AE41" i="15"/>
  <c r="AE43" i="15"/>
  <c r="AE45" i="15"/>
  <c r="AE47" i="15"/>
  <c r="AE49" i="15"/>
  <c r="AE51" i="15"/>
  <c r="AE53" i="15"/>
  <c r="AE55" i="15"/>
  <c r="AE57" i="15"/>
  <c r="AE59" i="15"/>
  <c r="AG23" i="15"/>
  <c r="AG25" i="15"/>
  <c r="AG27" i="15"/>
  <c r="AG29" i="15"/>
  <c r="AG31" i="15"/>
  <c r="AG33" i="15"/>
  <c r="AG35" i="15"/>
  <c r="AG37" i="15"/>
  <c r="AG39" i="15"/>
  <c r="AG41" i="15"/>
  <c r="AG43" i="15"/>
  <c r="AG45" i="15"/>
  <c r="AG47" i="15"/>
  <c r="AG49" i="15"/>
  <c r="AG51" i="15"/>
  <c r="AG53" i="15"/>
  <c r="AG55" i="15"/>
  <c r="AG57" i="15"/>
  <c r="AG59" i="15"/>
  <c r="AM23" i="15"/>
  <c r="AM25" i="15"/>
  <c r="AM27" i="15"/>
  <c r="AM29" i="15"/>
  <c r="AM31" i="15"/>
  <c r="AM33" i="15"/>
  <c r="AM35" i="15"/>
  <c r="AM37" i="15"/>
  <c r="AM39" i="15"/>
  <c r="AM41" i="15"/>
  <c r="AM43" i="15"/>
  <c r="AM45" i="15"/>
  <c r="AM47" i="15"/>
  <c r="AM49" i="15"/>
  <c r="AM51" i="15"/>
  <c r="AM53" i="15"/>
  <c r="AM55" i="15"/>
  <c r="AM57" i="15"/>
  <c r="AM59" i="15"/>
  <c r="AO23" i="15"/>
  <c r="AO25" i="15"/>
  <c r="AO27" i="15"/>
  <c r="AO29" i="15"/>
  <c r="AO31" i="15"/>
  <c r="AO33" i="15"/>
  <c r="AO35" i="15"/>
  <c r="AO37" i="15"/>
  <c r="AO39" i="15"/>
  <c r="AO41" i="15"/>
  <c r="AO43" i="15"/>
  <c r="AO45" i="15"/>
  <c r="AO47" i="15"/>
  <c r="AO49" i="15"/>
  <c r="AO51" i="15"/>
  <c r="AO53" i="15"/>
  <c r="AO55" i="15"/>
  <c r="AO57" i="15"/>
  <c r="AO59" i="15"/>
  <c r="H23" i="16"/>
  <c r="W23" i="16"/>
  <c r="W25" i="16"/>
  <c r="W27" i="16"/>
  <c r="W29" i="16"/>
  <c r="W31" i="16"/>
  <c r="W33" i="16"/>
  <c r="W35" i="16"/>
  <c r="W37" i="16"/>
  <c r="W39" i="16"/>
  <c r="W41" i="16"/>
  <c r="W43" i="16"/>
  <c r="W45" i="16"/>
  <c r="W47" i="16"/>
  <c r="W49" i="16"/>
  <c r="W51" i="16"/>
  <c r="W53" i="16"/>
  <c r="W55" i="16"/>
  <c r="W57" i="16"/>
  <c r="W59" i="16"/>
  <c r="H33" i="16"/>
  <c r="AB23" i="16"/>
  <c r="AB25" i="16"/>
  <c r="AB27" i="16"/>
  <c r="AB29" i="16"/>
  <c r="AB31" i="16"/>
  <c r="AB33" i="16"/>
  <c r="AB35" i="16"/>
  <c r="AB37" i="16"/>
  <c r="AB39" i="16"/>
  <c r="AB41" i="16"/>
  <c r="AB43" i="16"/>
  <c r="AB45" i="16"/>
  <c r="AB47" i="16"/>
  <c r="AB49" i="16"/>
  <c r="AB51" i="16"/>
  <c r="AB53" i="16"/>
  <c r="AB55" i="16"/>
  <c r="AB57" i="16"/>
  <c r="AB59" i="16"/>
  <c r="H35" i="16"/>
  <c r="AC23" i="16"/>
  <c r="AC25" i="16"/>
  <c r="AC27" i="16"/>
  <c r="AC29" i="16"/>
  <c r="AC31" i="16"/>
  <c r="AC33" i="16"/>
  <c r="AC35" i="16"/>
  <c r="AC37" i="16"/>
  <c r="AC39" i="16"/>
  <c r="AC41" i="16"/>
  <c r="AC43" i="16"/>
  <c r="AC45" i="16"/>
  <c r="AC47" i="16"/>
  <c r="AC49" i="16"/>
  <c r="AC51" i="16"/>
  <c r="AC53" i="16"/>
  <c r="AC55" i="16"/>
  <c r="AC57" i="16"/>
  <c r="AC59" i="16"/>
  <c r="H37" i="16"/>
  <c r="AD23" i="16"/>
  <c r="AD25" i="16"/>
  <c r="AD27" i="16"/>
  <c r="AD29" i="16"/>
  <c r="AD31" i="16"/>
  <c r="AD33" i="16"/>
  <c r="AD35" i="16"/>
  <c r="AD37" i="16"/>
  <c r="AD39" i="16"/>
  <c r="AD41" i="16"/>
  <c r="AD43" i="16"/>
  <c r="AD45" i="16"/>
  <c r="AD47" i="16"/>
  <c r="AD49" i="16"/>
  <c r="AD51" i="16"/>
  <c r="AD53" i="16"/>
  <c r="AD55" i="16"/>
  <c r="AD57" i="16"/>
  <c r="AD59" i="16"/>
  <c r="H39" i="16"/>
  <c r="AE23" i="16"/>
  <c r="AE25" i="16"/>
  <c r="AE27" i="16"/>
  <c r="AE29" i="16"/>
  <c r="AE31" i="16"/>
  <c r="AE33" i="16"/>
  <c r="AE35" i="16"/>
  <c r="AE37" i="16"/>
  <c r="AE39" i="16"/>
  <c r="AE41" i="16"/>
  <c r="AE43" i="16"/>
  <c r="AE45" i="16"/>
  <c r="AE47" i="16"/>
  <c r="AE49" i="16"/>
  <c r="AE51" i="16"/>
  <c r="AE53" i="16"/>
  <c r="AE55" i="16"/>
  <c r="AE57" i="16"/>
  <c r="AE59" i="16"/>
  <c r="H43" i="16"/>
  <c r="AG23" i="16"/>
  <c r="AG25" i="16"/>
  <c r="AG27" i="16"/>
  <c r="AG29" i="16"/>
  <c r="AG31" i="16"/>
  <c r="AG33" i="16"/>
  <c r="AG35" i="16"/>
  <c r="AG37" i="16"/>
  <c r="AG39" i="16"/>
  <c r="AG41" i="16"/>
  <c r="AG43" i="16"/>
  <c r="AG45" i="16"/>
  <c r="AG47" i="16"/>
  <c r="AG49" i="16"/>
  <c r="AG51" i="16"/>
  <c r="AG53" i="16"/>
  <c r="AG55" i="16"/>
  <c r="AG57" i="16"/>
  <c r="AG59" i="16"/>
  <c r="H55" i="16"/>
  <c r="AM23" i="16"/>
  <c r="AM25" i="16"/>
  <c r="AM27" i="16"/>
  <c r="AM29" i="16"/>
  <c r="AM31" i="16"/>
  <c r="AM33" i="16"/>
  <c r="AM35" i="16"/>
  <c r="AM37" i="16"/>
  <c r="AM39" i="16"/>
  <c r="AM41" i="16"/>
  <c r="AM43" i="16"/>
  <c r="AM45" i="16"/>
  <c r="AM47" i="16"/>
  <c r="AM49" i="16"/>
  <c r="AM51" i="16"/>
  <c r="AM53" i="16"/>
  <c r="AM55" i="16"/>
  <c r="AM57" i="16"/>
  <c r="AM59" i="16"/>
  <c r="H59" i="16"/>
  <c r="AO23" i="16"/>
  <c r="AO25" i="16"/>
  <c r="AO27" i="16"/>
  <c r="AO29" i="16"/>
  <c r="AO31" i="16"/>
  <c r="AO33" i="16"/>
  <c r="AO35" i="16"/>
  <c r="AO37" i="16"/>
  <c r="AO39" i="16"/>
  <c r="AO41" i="16"/>
  <c r="AO43" i="16"/>
  <c r="AO45" i="16"/>
  <c r="AO47" i="16"/>
  <c r="AO49" i="16"/>
  <c r="AO51" i="16"/>
  <c r="AO53" i="16"/>
  <c r="AO55" i="16"/>
  <c r="AO57" i="16"/>
  <c r="AO59" i="16"/>
  <c r="R33" i="16"/>
  <c r="R35" i="16"/>
  <c r="R37" i="16"/>
  <c r="R39" i="16"/>
  <c r="R41" i="16"/>
  <c r="R47" i="16"/>
  <c r="R49" i="16"/>
  <c r="R55" i="16"/>
  <c r="R57" i="16"/>
  <c r="B88" i="12"/>
  <c r="B87" i="12"/>
  <c r="B86" i="12"/>
  <c r="R33" i="15"/>
  <c r="R35" i="15"/>
  <c r="R37" i="15"/>
  <c r="R39" i="15"/>
  <c r="R41" i="15"/>
  <c r="R47" i="15"/>
  <c r="R49" i="15"/>
  <c r="R55" i="15"/>
  <c r="R57" i="15"/>
  <c r="B68" i="12"/>
  <c r="B67" i="12"/>
  <c r="B66" i="12"/>
  <c r="R33" i="14"/>
  <c r="R35" i="14"/>
  <c r="R37" i="14"/>
  <c r="R39" i="14"/>
  <c r="R41" i="14"/>
  <c r="R47" i="14"/>
  <c r="R49" i="14"/>
  <c r="R55" i="14"/>
  <c r="R57" i="14"/>
  <c r="B48" i="12"/>
  <c r="B47" i="12"/>
  <c r="B46" i="12"/>
  <c r="R33" i="13"/>
  <c r="R35" i="13"/>
  <c r="R37" i="13"/>
  <c r="R39" i="13"/>
  <c r="R41" i="13"/>
  <c r="R47" i="13"/>
  <c r="R49" i="13"/>
  <c r="R55" i="13"/>
  <c r="R57" i="13"/>
  <c r="B29" i="12"/>
  <c r="B28" i="12"/>
  <c r="B27" i="12"/>
  <c r="B26" i="12"/>
  <c r="W61" i="17"/>
  <c r="W63" i="17"/>
  <c r="X61" i="17"/>
  <c r="X63" i="17"/>
  <c r="Y61" i="17"/>
  <c r="Y63" i="17"/>
  <c r="Z61" i="17"/>
  <c r="Z63" i="17"/>
  <c r="AA61" i="17"/>
  <c r="AA63" i="17"/>
  <c r="AB61" i="17"/>
  <c r="AB63" i="17"/>
  <c r="AC61" i="17"/>
  <c r="AC63" i="17"/>
  <c r="AD61" i="17"/>
  <c r="AD63" i="17"/>
  <c r="AE61" i="17"/>
  <c r="AE63" i="17"/>
  <c r="AG61" i="17"/>
  <c r="AG63" i="17"/>
  <c r="AH61" i="17"/>
  <c r="AH63" i="17"/>
  <c r="AK61" i="17"/>
  <c r="AK63" i="17"/>
  <c r="AL61" i="17"/>
  <c r="AL63" i="17"/>
  <c r="AM61" i="17"/>
  <c r="AM63" i="17"/>
  <c r="AO61" i="17"/>
  <c r="AO63" i="17"/>
  <c r="P61" i="17"/>
  <c r="P63" i="17"/>
  <c r="AN23" i="17"/>
  <c r="AN25" i="17"/>
  <c r="AN27" i="17"/>
  <c r="AN29" i="17"/>
  <c r="AN31" i="17"/>
  <c r="AN33" i="17"/>
  <c r="AN35" i="17"/>
  <c r="AN37" i="17"/>
  <c r="AN39" i="17"/>
  <c r="AN41" i="17"/>
  <c r="AN43" i="17"/>
  <c r="AN45" i="17"/>
  <c r="AN47" i="17"/>
  <c r="AN49" i="17"/>
  <c r="AN51" i="17"/>
  <c r="AN53" i="17"/>
  <c r="AN55" i="17"/>
  <c r="AN57" i="17"/>
  <c r="AN59" i="17"/>
  <c r="AN61" i="17"/>
  <c r="AN63" i="17"/>
  <c r="AJ23" i="17"/>
  <c r="AJ25" i="17"/>
  <c r="AJ27" i="17"/>
  <c r="AJ29" i="17"/>
  <c r="AJ31" i="17"/>
  <c r="AJ33" i="17"/>
  <c r="AJ35" i="17"/>
  <c r="AJ37" i="17"/>
  <c r="AJ39" i="17"/>
  <c r="AJ41" i="17"/>
  <c r="AJ43" i="17"/>
  <c r="AJ45" i="17"/>
  <c r="AJ47" i="17"/>
  <c r="AJ49" i="17"/>
  <c r="AJ51" i="17"/>
  <c r="AJ53" i="17"/>
  <c r="AJ55" i="17"/>
  <c r="AJ57" i="17"/>
  <c r="AJ59" i="17"/>
  <c r="AJ61" i="17"/>
  <c r="AJ63" i="17"/>
  <c r="AI23" i="17"/>
  <c r="AI25" i="17"/>
  <c r="AI27" i="17"/>
  <c r="AI29" i="17"/>
  <c r="AI31" i="17"/>
  <c r="AI33" i="17"/>
  <c r="AI35" i="17"/>
  <c r="AI37" i="17"/>
  <c r="AI39" i="17"/>
  <c r="AI41" i="17"/>
  <c r="AI43" i="17"/>
  <c r="AI45" i="17"/>
  <c r="AI47" i="17"/>
  <c r="AI49" i="17"/>
  <c r="AI51" i="17"/>
  <c r="AI53" i="17"/>
  <c r="AI55" i="17"/>
  <c r="AI57" i="17"/>
  <c r="AI59" i="17"/>
  <c r="AI61" i="17"/>
  <c r="AI63" i="17"/>
  <c r="AF23" i="17"/>
  <c r="AF25" i="17"/>
  <c r="AF27" i="17"/>
  <c r="AF29" i="17"/>
  <c r="AF31" i="17"/>
  <c r="AF33" i="17"/>
  <c r="AF35" i="17"/>
  <c r="AF37" i="17"/>
  <c r="AF39" i="17"/>
  <c r="AF41" i="17"/>
  <c r="AF43" i="17"/>
  <c r="AF45" i="17"/>
  <c r="AF47" i="17"/>
  <c r="AF49" i="17"/>
  <c r="AF51" i="17"/>
  <c r="AF53" i="17"/>
  <c r="AF55" i="17"/>
  <c r="AF57" i="17"/>
  <c r="AF59" i="17"/>
  <c r="AF61" i="17"/>
  <c r="AF63" i="17"/>
  <c r="H41" i="17"/>
  <c r="H47" i="17"/>
  <c r="H49" i="17"/>
  <c r="H57" i="17"/>
  <c r="D66" i="17"/>
  <c r="B66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W61" i="16"/>
  <c r="W63" i="16"/>
  <c r="X61" i="16"/>
  <c r="X63" i="16"/>
  <c r="Y61" i="16"/>
  <c r="Y63" i="16"/>
  <c r="Z61" i="16"/>
  <c r="Z63" i="16"/>
  <c r="AA61" i="16"/>
  <c r="AA63" i="16"/>
  <c r="AB61" i="16"/>
  <c r="AB63" i="16"/>
  <c r="AC61" i="16"/>
  <c r="AC63" i="16"/>
  <c r="AD61" i="16"/>
  <c r="AD63" i="16"/>
  <c r="AE61" i="16"/>
  <c r="AE63" i="16"/>
  <c r="AG61" i="16"/>
  <c r="AG63" i="16"/>
  <c r="AH61" i="16"/>
  <c r="AH63" i="16"/>
  <c r="AK61" i="16"/>
  <c r="AK63" i="16"/>
  <c r="AL61" i="16"/>
  <c r="AL63" i="16"/>
  <c r="AM61" i="16"/>
  <c r="AM63" i="16"/>
  <c r="AO61" i="16"/>
  <c r="AO63" i="16"/>
  <c r="AN23" i="16"/>
  <c r="AN25" i="16"/>
  <c r="AN27" i="16"/>
  <c r="AN29" i="16"/>
  <c r="AN31" i="16"/>
  <c r="AN33" i="16"/>
  <c r="AN35" i="16"/>
  <c r="AN37" i="16"/>
  <c r="AN39" i="16"/>
  <c r="AN41" i="16"/>
  <c r="AN43" i="16"/>
  <c r="AN45" i="16"/>
  <c r="AN47" i="16"/>
  <c r="AN49" i="16"/>
  <c r="AN51" i="16"/>
  <c r="AN53" i="16"/>
  <c r="AN55" i="16"/>
  <c r="AN57" i="16"/>
  <c r="AN59" i="16"/>
  <c r="AN61" i="16"/>
  <c r="AN63" i="16"/>
  <c r="AJ23" i="16"/>
  <c r="AJ25" i="16"/>
  <c r="AJ27" i="16"/>
  <c r="AJ29" i="16"/>
  <c r="AJ31" i="16"/>
  <c r="AJ33" i="16"/>
  <c r="AJ35" i="16"/>
  <c r="AJ37" i="16"/>
  <c r="AJ39" i="16"/>
  <c r="AJ41" i="16"/>
  <c r="AJ43" i="16"/>
  <c r="AJ45" i="16"/>
  <c r="AJ47" i="16"/>
  <c r="AJ49" i="16"/>
  <c r="AJ51" i="16"/>
  <c r="AJ53" i="16"/>
  <c r="AJ55" i="16"/>
  <c r="AJ57" i="16"/>
  <c r="AJ59" i="16"/>
  <c r="AJ61" i="16"/>
  <c r="AJ63" i="16"/>
  <c r="AI23" i="16"/>
  <c r="AI25" i="16"/>
  <c r="AI27" i="16"/>
  <c r="AI29" i="16"/>
  <c r="AI31" i="16"/>
  <c r="AI33" i="16"/>
  <c r="AI35" i="16"/>
  <c r="AI37" i="16"/>
  <c r="AI39" i="16"/>
  <c r="AI41" i="16"/>
  <c r="AI43" i="16"/>
  <c r="AI45" i="16"/>
  <c r="AI47" i="16"/>
  <c r="AI49" i="16"/>
  <c r="AI51" i="16"/>
  <c r="AI53" i="16"/>
  <c r="AI55" i="16"/>
  <c r="AI57" i="16"/>
  <c r="AI59" i="16"/>
  <c r="AI61" i="16"/>
  <c r="AI63" i="16"/>
  <c r="AF23" i="16"/>
  <c r="AF25" i="16"/>
  <c r="AF27" i="16"/>
  <c r="AF29" i="16"/>
  <c r="AF31" i="16"/>
  <c r="AF33" i="16"/>
  <c r="AF35" i="16"/>
  <c r="AF37" i="16"/>
  <c r="AF39" i="16"/>
  <c r="AF41" i="16"/>
  <c r="AF43" i="16"/>
  <c r="AF45" i="16"/>
  <c r="AF47" i="16"/>
  <c r="AF49" i="16"/>
  <c r="AF51" i="16"/>
  <c r="AF53" i="16"/>
  <c r="AF55" i="16"/>
  <c r="AF57" i="16"/>
  <c r="AF59" i="16"/>
  <c r="AF61" i="16"/>
  <c r="AF63" i="16"/>
  <c r="H41" i="16"/>
  <c r="H47" i="16"/>
  <c r="H49" i="16"/>
  <c r="H57" i="16"/>
  <c r="D66" i="16"/>
  <c r="B66" i="16"/>
  <c r="A63" i="16"/>
  <c r="A61" i="16"/>
  <c r="A59" i="16"/>
  <c r="A57" i="16"/>
  <c r="A55" i="16"/>
  <c r="A53" i="16"/>
  <c r="A51" i="16"/>
  <c r="A49" i="16"/>
  <c r="A47" i="16"/>
  <c r="A45" i="16"/>
  <c r="A43" i="16"/>
  <c r="A41" i="16"/>
  <c r="A39" i="16"/>
  <c r="A37" i="16"/>
  <c r="A35" i="16"/>
  <c r="A33" i="16"/>
  <c r="A31" i="16"/>
  <c r="A29" i="16"/>
  <c r="A27" i="16"/>
  <c r="A25" i="16"/>
  <c r="A23" i="16"/>
  <c r="W61" i="15"/>
  <c r="W63" i="15"/>
  <c r="X61" i="15"/>
  <c r="X63" i="15"/>
  <c r="Y61" i="15"/>
  <c r="Y63" i="15"/>
  <c r="Z61" i="15"/>
  <c r="Z63" i="15"/>
  <c r="AA61" i="15"/>
  <c r="AA63" i="15"/>
  <c r="AB61" i="15"/>
  <c r="AB63" i="15"/>
  <c r="AC61" i="15"/>
  <c r="AC63" i="15"/>
  <c r="AD61" i="15"/>
  <c r="AD63" i="15"/>
  <c r="AE61" i="15"/>
  <c r="AE63" i="15"/>
  <c r="AG61" i="15"/>
  <c r="AG63" i="15"/>
  <c r="AH61" i="15"/>
  <c r="AH63" i="15"/>
  <c r="AK61" i="15"/>
  <c r="AK63" i="15"/>
  <c r="AL61" i="15"/>
  <c r="AL63" i="15"/>
  <c r="AM61" i="15"/>
  <c r="AM63" i="15"/>
  <c r="AO61" i="15"/>
  <c r="AO63" i="15"/>
  <c r="AN23" i="15"/>
  <c r="AN25" i="15"/>
  <c r="AN27" i="15"/>
  <c r="AN29" i="15"/>
  <c r="AN31" i="15"/>
  <c r="AN33" i="15"/>
  <c r="AN35" i="15"/>
  <c r="AN37" i="15"/>
  <c r="AN39" i="15"/>
  <c r="AN41" i="15"/>
  <c r="AN43" i="15"/>
  <c r="AN45" i="15"/>
  <c r="AN47" i="15"/>
  <c r="AN49" i="15"/>
  <c r="AN51" i="15"/>
  <c r="AN53" i="15"/>
  <c r="AN55" i="15"/>
  <c r="AN57" i="15"/>
  <c r="AN59" i="15"/>
  <c r="AN61" i="15"/>
  <c r="AN63" i="15"/>
  <c r="AJ23" i="15"/>
  <c r="AJ25" i="15"/>
  <c r="AJ27" i="15"/>
  <c r="AJ29" i="15"/>
  <c r="AJ31" i="15"/>
  <c r="AJ33" i="15"/>
  <c r="AJ35" i="15"/>
  <c r="AJ37" i="15"/>
  <c r="AJ39" i="15"/>
  <c r="AJ41" i="15"/>
  <c r="AJ43" i="15"/>
  <c r="AJ45" i="15"/>
  <c r="AJ47" i="15"/>
  <c r="AJ49" i="15"/>
  <c r="AJ51" i="15"/>
  <c r="AJ53" i="15"/>
  <c r="AJ55" i="15"/>
  <c r="AJ57" i="15"/>
  <c r="AJ59" i="15"/>
  <c r="AJ61" i="15"/>
  <c r="AJ63" i="15"/>
  <c r="AI23" i="15"/>
  <c r="AI25" i="15"/>
  <c r="AI27" i="15"/>
  <c r="AI29" i="15"/>
  <c r="AI31" i="15"/>
  <c r="AI33" i="15"/>
  <c r="AI35" i="15"/>
  <c r="AI37" i="15"/>
  <c r="AI39" i="15"/>
  <c r="AI41" i="15"/>
  <c r="AI43" i="15"/>
  <c r="AI45" i="15"/>
  <c r="AI47" i="15"/>
  <c r="AI49" i="15"/>
  <c r="AI51" i="15"/>
  <c r="AI53" i="15"/>
  <c r="AI55" i="15"/>
  <c r="AI57" i="15"/>
  <c r="AI59" i="15"/>
  <c r="AI61" i="15"/>
  <c r="AI63" i="15"/>
  <c r="AF23" i="15"/>
  <c r="AF25" i="15"/>
  <c r="AF27" i="15"/>
  <c r="AF29" i="15"/>
  <c r="AF31" i="15"/>
  <c r="AF33" i="15"/>
  <c r="AF35" i="15"/>
  <c r="AF37" i="15"/>
  <c r="AF39" i="15"/>
  <c r="AF41" i="15"/>
  <c r="AF43" i="15"/>
  <c r="AF45" i="15"/>
  <c r="AF47" i="15"/>
  <c r="AF49" i="15"/>
  <c r="AF51" i="15"/>
  <c r="AF53" i="15"/>
  <c r="AF55" i="15"/>
  <c r="AF57" i="15"/>
  <c r="AF59" i="15"/>
  <c r="AF61" i="15"/>
  <c r="AF63" i="15"/>
  <c r="D66" i="15"/>
  <c r="B66" i="15"/>
  <c r="A63" i="15"/>
  <c r="A61" i="15"/>
  <c r="A59" i="15"/>
  <c r="A57" i="15"/>
  <c r="A55" i="15"/>
  <c r="A53" i="15"/>
  <c r="A51" i="15"/>
  <c r="A49" i="15"/>
  <c r="A47" i="15"/>
  <c r="A45" i="15"/>
  <c r="A43" i="15"/>
  <c r="A41" i="15"/>
  <c r="A39" i="15"/>
  <c r="A37" i="15"/>
  <c r="A35" i="15"/>
  <c r="A33" i="15"/>
  <c r="A31" i="15"/>
  <c r="A29" i="15"/>
  <c r="A27" i="15"/>
  <c r="A25" i="15"/>
  <c r="A23" i="15"/>
  <c r="W61" i="14"/>
  <c r="W63" i="14"/>
  <c r="X61" i="14"/>
  <c r="X63" i="14"/>
  <c r="Y61" i="14"/>
  <c r="Y63" i="14"/>
  <c r="Z61" i="14"/>
  <c r="Z63" i="14"/>
  <c r="AA61" i="14"/>
  <c r="AA63" i="14"/>
  <c r="AB61" i="14"/>
  <c r="AB63" i="14"/>
  <c r="AC61" i="14"/>
  <c r="AC63" i="14"/>
  <c r="AD61" i="14"/>
  <c r="AD63" i="14"/>
  <c r="AE61" i="14"/>
  <c r="AE63" i="14"/>
  <c r="AG61" i="14"/>
  <c r="AG63" i="14"/>
  <c r="AH61" i="14"/>
  <c r="AH63" i="14"/>
  <c r="AK61" i="14"/>
  <c r="AK63" i="14"/>
  <c r="AL61" i="14"/>
  <c r="AL63" i="14"/>
  <c r="AM61" i="14"/>
  <c r="AM63" i="14"/>
  <c r="AO61" i="14"/>
  <c r="AO63" i="14"/>
  <c r="AN23" i="14"/>
  <c r="AN25" i="14"/>
  <c r="AN27" i="14"/>
  <c r="AN29" i="14"/>
  <c r="AN31" i="14"/>
  <c r="AN33" i="14"/>
  <c r="AN35" i="14"/>
  <c r="AN37" i="14"/>
  <c r="AN39" i="14"/>
  <c r="AN41" i="14"/>
  <c r="AN43" i="14"/>
  <c r="AN45" i="14"/>
  <c r="AN47" i="14"/>
  <c r="AN49" i="14"/>
  <c r="AN51" i="14"/>
  <c r="AN53" i="14"/>
  <c r="AN55" i="14"/>
  <c r="AN57" i="14"/>
  <c r="AN59" i="14"/>
  <c r="AN61" i="14"/>
  <c r="AN63" i="14"/>
  <c r="AJ23" i="14"/>
  <c r="AJ25" i="14"/>
  <c r="AJ27" i="14"/>
  <c r="AJ29" i="14"/>
  <c r="AJ31" i="14"/>
  <c r="AJ33" i="14"/>
  <c r="AJ35" i="14"/>
  <c r="AJ37" i="14"/>
  <c r="AJ39" i="14"/>
  <c r="AJ41" i="14"/>
  <c r="AJ43" i="14"/>
  <c r="AJ45" i="14"/>
  <c r="AJ47" i="14"/>
  <c r="AJ49" i="14"/>
  <c r="AJ51" i="14"/>
  <c r="AJ53" i="14"/>
  <c r="AJ55" i="14"/>
  <c r="AJ57" i="14"/>
  <c r="AJ59" i="14"/>
  <c r="AJ61" i="14"/>
  <c r="AJ63" i="14"/>
  <c r="AI23" i="14"/>
  <c r="AI25" i="14"/>
  <c r="AI27" i="14"/>
  <c r="AI29" i="14"/>
  <c r="AI31" i="14"/>
  <c r="AI33" i="14"/>
  <c r="AI35" i="14"/>
  <c r="AI37" i="14"/>
  <c r="AI39" i="14"/>
  <c r="AI41" i="14"/>
  <c r="AI43" i="14"/>
  <c r="AI45" i="14"/>
  <c r="AI47" i="14"/>
  <c r="AI49" i="14"/>
  <c r="AI51" i="14"/>
  <c r="AI53" i="14"/>
  <c r="AI55" i="14"/>
  <c r="AI57" i="14"/>
  <c r="AI59" i="14"/>
  <c r="AI61" i="14"/>
  <c r="AI63" i="14"/>
  <c r="AF23" i="14"/>
  <c r="AF25" i="14"/>
  <c r="AF27" i="14"/>
  <c r="AF29" i="14"/>
  <c r="AF31" i="14"/>
  <c r="AF33" i="14"/>
  <c r="AF35" i="14"/>
  <c r="AF37" i="14"/>
  <c r="AF39" i="14"/>
  <c r="AF41" i="14"/>
  <c r="AF43" i="14"/>
  <c r="AF45" i="14"/>
  <c r="AF47" i="14"/>
  <c r="AF49" i="14"/>
  <c r="AF51" i="14"/>
  <c r="AF53" i="14"/>
  <c r="AF55" i="14"/>
  <c r="AF57" i="14"/>
  <c r="AF59" i="14"/>
  <c r="AF61" i="14"/>
  <c r="AF63" i="14"/>
  <c r="H41" i="14"/>
  <c r="H47" i="14"/>
  <c r="H49" i="14"/>
  <c r="H57" i="14"/>
  <c r="D66" i="14"/>
  <c r="B66" i="14"/>
  <c r="A63" i="14"/>
  <c r="A61" i="14"/>
  <c r="A59" i="14"/>
  <c r="A57" i="14"/>
  <c r="A55" i="14"/>
  <c r="A53" i="14"/>
  <c r="A51" i="14"/>
  <c r="A49" i="14"/>
  <c r="A47" i="14"/>
  <c r="A45" i="14"/>
  <c r="A43" i="14"/>
  <c r="A41" i="14"/>
  <c r="A39" i="14"/>
  <c r="A37" i="14"/>
  <c r="A35" i="14"/>
  <c r="A33" i="14"/>
  <c r="A31" i="14"/>
  <c r="A29" i="14"/>
  <c r="A27" i="14"/>
  <c r="A25" i="14"/>
  <c r="A23" i="14"/>
  <c r="W61" i="13"/>
  <c r="W63" i="13"/>
  <c r="X61" i="13"/>
  <c r="X63" i="13"/>
  <c r="Y61" i="13"/>
  <c r="Y63" i="13"/>
  <c r="Z61" i="13"/>
  <c r="Z63" i="13"/>
  <c r="AA61" i="13"/>
  <c r="AA63" i="13"/>
  <c r="AB61" i="13"/>
  <c r="AB63" i="13"/>
  <c r="AC61" i="13"/>
  <c r="AC63" i="13"/>
  <c r="AD61" i="13"/>
  <c r="AD63" i="13"/>
  <c r="AE61" i="13"/>
  <c r="AE63" i="13"/>
  <c r="AG61" i="13"/>
  <c r="AG63" i="13"/>
  <c r="AH61" i="13"/>
  <c r="AH63" i="13"/>
  <c r="AK61" i="13"/>
  <c r="AK63" i="13"/>
  <c r="AL61" i="13"/>
  <c r="AL63" i="13"/>
  <c r="AM61" i="13"/>
  <c r="AM63" i="13"/>
  <c r="AO61" i="13"/>
  <c r="AO63" i="13"/>
  <c r="F9" i="13"/>
  <c r="AN23" i="13"/>
  <c r="AN25" i="13"/>
  <c r="AN27" i="13"/>
  <c r="AN29" i="13"/>
  <c r="AN31" i="13"/>
  <c r="AN33" i="13"/>
  <c r="AN35" i="13"/>
  <c r="AN37" i="13"/>
  <c r="AN39" i="13"/>
  <c r="AN41" i="13"/>
  <c r="AN43" i="13"/>
  <c r="AN45" i="13"/>
  <c r="AN47" i="13"/>
  <c r="AN49" i="13"/>
  <c r="AN51" i="13"/>
  <c r="AN53" i="13"/>
  <c r="AN55" i="13"/>
  <c r="AN57" i="13"/>
  <c r="AN59" i="13"/>
  <c r="AN61" i="13"/>
  <c r="AN63" i="13"/>
  <c r="AJ23" i="13"/>
  <c r="AJ25" i="13"/>
  <c r="AJ27" i="13"/>
  <c r="AJ29" i="13"/>
  <c r="AJ31" i="13"/>
  <c r="AJ33" i="13"/>
  <c r="AJ35" i="13"/>
  <c r="AJ37" i="13"/>
  <c r="AJ39" i="13"/>
  <c r="AJ41" i="13"/>
  <c r="AJ43" i="13"/>
  <c r="AJ45" i="13"/>
  <c r="AJ47" i="13"/>
  <c r="AJ49" i="13"/>
  <c r="AJ51" i="13"/>
  <c r="AJ53" i="13"/>
  <c r="AJ55" i="13"/>
  <c r="AJ57" i="13"/>
  <c r="AJ59" i="13"/>
  <c r="AJ61" i="13"/>
  <c r="AJ63" i="13"/>
  <c r="AI23" i="13"/>
  <c r="AI25" i="13"/>
  <c r="AI27" i="13"/>
  <c r="AI29" i="13"/>
  <c r="AI31" i="13"/>
  <c r="AI33" i="13"/>
  <c r="AI35" i="13"/>
  <c r="AI37" i="13"/>
  <c r="AI39" i="13"/>
  <c r="AI41" i="13"/>
  <c r="AI43" i="13"/>
  <c r="AI45" i="13"/>
  <c r="AI47" i="13"/>
  <c r="AI49" i="13"/>
  <c r="AI51" i="13"/>
  <c r="AI53" i="13"/>
  <c r="AI55" i="13"/>
  <c r="AI57" i="13"/>
  <c r="AI59" i="13"/>
  <c r="AI61" i="13"/>
  <c r="AI63" i="13"/>
  <c r="AF23" i="13"/>
  <c r="AF25" i="13"/>
  <c r="AF27" i="13"/>
  <c r="AF29" i="13"/>
  <c r="AF31" i="13"/>
  <c r="AF33" i="13"/>
  <c r="AF35" i="13"/>
  <c r="AF37" i="13"/>
  <c r="AF39" i="13"/>
  <c r="AF41" i="13"/>
  <c r="AF43" i="13"/>
  <c r="AF45" i="13"/>
  <c r="AF47" i="13"/>
  <c r="AF49" i="13"/>
  <c r="AF51" i="13"/>
  <c r="AF53" i="13"/>
  <c r="AF55" i="13"/>
  <c r="AF57" i="13"/>
  <c r="AF59" i="13"/>
  <c r="AF61" i="13"/>
  <c r="AF63" i="13"/>
  <c r="H41" i="13"/>
  <c r="H47" i="13"/>
  <c r="H49" i="13"/>
  <c r="H57" i="13"/>
  <c r="D66" i="13"/>
  <c r="B66" i="13"/>
  <c r="A63" i="13"/>
  <c r="A61" i="13"/>
  <c r="A59" i="13"/>
  <c r="A57" i="13"/>
  <c r="A55" i="13"/>
  <c r="A53" i="13"/>
  <c r="A51" i="13"/>
  <c r="A49" i="13"/>
  <c r="A47" i="13"/>
  <c r="A45" i="13"/>
  <c r="A43" i="13"/>
  <c r="A41" i="13"/>
  <c r="A39" i="13"/>
  <c r="A37" i="13"/>
  <c r="A35" i="13"/>
  <c r="A33" i="13"/>
  <c r="A31" i="13"/>
  <c r="A29" i="13"/>
  <c r="A27" i="13"/>
  <c r="A25" i="13"/>
  <c r="A23" i="13"/>
  <c r="B8" i="12"/>
  <c r="H41" i="2"/>
  <c r="H47" i="2"/>
  <c r="H49" i="2"/>
  <c r="H57" i="2"/>
  <c r="B66" i="2"/>
  <c r="D66" i="2"/>
  <c r="W61" i="2"/>
  <c r="W63" i="2"/>
  <c r="X61" i="2"/>
  <c r="X63" i="2"/>
  <c r="Y61" i="2"/>
  <c r="Y63" i="2"/>
  <c r="Z61" i="2"/>
  <c r="Z63" i="2"/>
  <c r="AA61" i="2"/>
  <c r="AA63" i="2"/>
  <c r="AB61" i="2"/>
  <c r="AB63" i="2"/>
  <c r="AC61" i="2"/>
  <c r="AC63" i="2"/>
  <c r="AD61" i="2"/>
  <c r="AD63" i="2"/>
  <c r="AE61" i="2"/>
  <c r="AE63" i="2"/>
  <c r="AG61" i="2"/>
  <c r="AG63" i="2"/>
  <c r="AH61" i="2"/>
  <c r="AH63" i="2"/>
  <c r="AK61" i="2"/>
  <c r="AK63" i="2"/>
  <c r="AL61" i="2"/>
  <c r="AL63" i="2"/>
  <c r="AM61" i="2"/>
  <c r="AM63" i="2"/>
  <c r="AO61" i="2"/>
  <c r="AO63" i="2"/>
  <c r="P61" i="2"/>
  <c r="P63" i="2"/>
  <c r="AF23" i="2"/>
  <c r="AF25" i="2"/>
  <c r="AF27" i="2"/>
  <c r="AF29" i="2"/>
  <c r="AF31" i="2"/>
  <c r="AF33" i="2"/>
  <c r="AF35" i="2"/>
  <c r="AF37" i="2"/>
  <c r="AF39" i="2"/>
  <c r="AF41" i="2"/>
  <c r="AF43" i="2"/>
  <c r="AF45" i="2"/>
  <c r="AF47" i="2"/>
  <c r="AF49" i="2"/>
  <c r="AF51" i="2"/>
  <c r="AF53" i="2"/>
  <c r="AF55" i="2"/>
  <c r="AF57" i="2"/>
  <c r="AF59" i="2"/>
  <c r="AF61" i="2"/>
  <c r="AF63" i="2"/>
  <c r="E17" i="1"/>
  <c r="A22" i="12"/>
  <c r="A21" i="12"/>
  <c r="A18" i="12"/>
  <c r="A17" i="12"/>
  <c r="AI23" i="2"/>
  <c r="AI25" i="2"/>
  <c r="AI27" i="2"/>
  <c r="AI29" i="2"/>
  <c r="AI31" i="2"/>
  <c r="AI33" i="2"/>
  <c r="AI35" i="2"/>
  <c r="AI37" i="2"/>
  <c r="AI39" i="2"/>
  <c r="AI41" i="2"/>
  <c r="AI43" i="2"/>
  <c r="AI45" i="2"/>
  <c r="AI47" i="2"/>
  <c r="AI53" i="2"/>
  <c r="AI55" i="2"/>
  <c r="AI57" i="2"/>
  <c r="AI59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J57" i="2"/>
  <c r="AJ59" i="2"/>
  <c r="AN23" i="2"/>
  <c r="AN25" i="2"/>
  <c r="AN27" i="2"/>
  <c r="AN29" i="2"/>
  <c r="AN31" i="2"/>
  <c r="AN33" i="2"/>
  <c r="AN35" i="2"/>
  <c r="AN37" i="2"/>
  <c r="AN39" i="2"/>
  <c r="AN41" i="2"/>
  <c r="AN43" i="2"/>
  <c r="AN45" i="2"/>
  <c r="AN47" i="2"/>
  <c r="AN49" i="2"/>
  <c r="AN51" i="2"/>
  <c r="AN53" i="2"/>
  <c r="AN55" i="2"/>
  <c r="AN57" i="2"/>
  <c r="AN59" i="2"/>
  <c r="A63" i="2"/>
  <c r="AN63" i="2"/>
  <c r="AJ63" i="2"/>
  <c r="AI63" i="2"/>
  <c r="D109" i="11"/>
  <c r="D95" i="11"/>
  <c r="D81" i="11"/>
  <c r="D67" i="11"/>
  <c r="D53" i="11"/>
  <c r="F116" i="11"/>
  <c r="E116" i="11"/>
  <c r="D116" i="11"/>
  <c r="F102" i="11"/>
  <c r="E102" i="11"/>
  <c r="D102" i="11"/>
  <c r="F88" i="11"/>
  <c r="E88" i="11"/>
  <c r="D88" i="11"/>
  <c r="F74" i="11"/>
  <c r="E74" i="11"/>
  <c r="D74" i="11"/>
  <c r="B7" i="12"/>
  <c r="B6" i="12"/>
  <c r="AI61" i="2"/>
  <c r="AJ61" i="2"/>
  <c r="AN61" i="2"/>
  <c r="A61" i="2"/>
  <c r="A45" i="2"/>
  <c r="M53" i="11"/>
  <c r="F60" i="11"/>
  <c r="A39" i="2"/>
  <c r="A37" i="2"/>
  <c r="A35" i="2"/>
  <c r="A57" i="2"/>
  <c r="A49" i="2"/>
  <c r="A47" i="2"/>
  <c r="A33" i="2"/>
  <c r="A53" i="2"/>
  <c r="A51" i="2"/>
  <c r="A59" i="2"/>
  <c r="A55" i="2"/>
  <c r="A29" i="2"/>
  <c r="A27" i="2"/>
  <c r="A25" i="2"/>
  <c r="A23" i="2"/>
  <c r="A43" i="2"/>
  <c r="A41" i="2"/>
  <c r="A31" i="2"/>
  <c r="N52" i="11"/>
  <c r="L52" i="11"/>
  <c r="E60" i="11"/>
  <c r="D60" i="11"/>
  <c r="L48" i="11"/>
  <c r="K48" i="11"/>
  <c r="J48" i="11"/>
  <c r="J52" i="11"/>
  <c r="E72" i="11"/>
  <c r="F72" i="11" s="1"/>
  <c r="K52" i="11"/>
  <c r="M54" i="11"/>
  <c r="N53" i="11"/>
  <c r="D55" i="11"/>
  <c r="K53" i="11"/>
  <c r="J53" i="11"/>
  <c r="L53" i="11"/>
  <c r="C7" i="11"/>
  <c r="E58" i="11" s="1"/>
  <c r="F58" i="11" s="1"/>
  <c r="B9" i="12"/>
  <c r="N54" i="11"/>
  <c r="M55" i="11"/>
  <c r="K54" i="11"/>
  <c r="L54" i="11"/>
  <c r="J54" i="11"/>
  <c r="M56" i="11"/>
  <c r="N55" i="11"/>
  <c r="L55" i="11"/>
  <c r="K55" i="11"/>
  <c r="J55" i="11"/>
  <c r="N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 s="1"/>
  <c r="M184" i="11" s="1"/>
  <c r="M185" i="11" s="1"/>
  <c r="M186" i="11" s="1"/>
  <c r="M187" i="11" s="1"/>
  <c r="M188" i="11" s="1"/>
  <c r="M189" i="11" s="1"/>
  <c r="M190" i="11" s="1"/>
  <c r="M191" i="11" s="1"/>
  <c r="M192" i="11" s="1"/>
  <c r="M193" i="11" s="1"/>
  <c r="M194" i="11" s="1"/>
  <c r="M195" i="11" s="1"/>
  <c r="M196" i="11" s="1"/>
  <c r="M197" i="11" s="1"/>
  <c r="M198" i="11" s="1"/>
  <c r="M199" i="11" s="1"/>
  <c r="M200" i="11" s="1"/>
  <c r="M201" i="11" s="1"/>
  <c r="M202" i="11" s="1"/>
  <c r="M203" i="11" s="1"/>
  <c r="M204" i="11" s="1"/>
  <c r="M205" i="11" s="1"/>
  <c r="M206" i="11" s="1"/>
  <c r="M207" i="11" s="1"/>
  <c r="M208" i="11" s="1"/>
  <c r="M209" i="11" s="1"/>
  <c r="M210" i="11" s="1"/>
  <c r="M211" i="11" s="1"/>
  <c r="M212" i="11" s="1"/>
  <c r="M213" i="11" s="1"/>
  <c r="M214" i="11" s="1"/>
  <c r="M215" i="11" s="1"/>
  <c r="M216" i="11" s="1"/>
  <c r="M217" i="11" s="1"/>
  <c r="M218" i="11" s="1"/>
  <c r="M219" i="11" s="1"/>
  <c r="M220" i="11" s="1"/>
  <c r="M221" i="11" s="1"/>
  <c r="M222" i="11" s="1"/>
  <c r="M223" i="11" s="1"/>
  <c r="M224" i="11" s="1"/>
  <c r="M225" i="11" s="1"/>
  <c r="M226" i="11" s="1"/>
  <c r="M227" i="11" s="1"/>
  <c r="M228" i="11" s="1"/>
  <c r="M229" i="11" s="1"/>
  <c r="M230" i="11" s="1"/>
  <c r="M231" i="11" s="1"/>
  <c r="M232" i="11" s="1"/>
  <c r="M233" i="11" s="1"/>
  <c r="M234" i="11" s="1"/>
  <c r="M235" i="11" s="1"/>
  <c r="M236" i="11" s="1"/>
  <c r="M237" i="11" s="1"/>
  <c r="M238" i="11" s="1"/>
  <c r="M239" i="11" s="1"/>
  <c r="M240" i="11" s="1"/>
  <c r="M241" i="11" s="1"/>
  <c r="M242" i="11" s="1"/>
  <c r="M243" i="11" s="1"/>
  <c r="M244" i="11" s="1"/>
  <c r="M245" i="11" s="1"/>
  <c r="M246" i="11" s="1"/>
  <c r="M247" i="11" s="1"/>
  <c r="M248" i="11" s="1"/>
  <c r="M249" i="11" s="1"/>
  <c r="M250" i="11" s="1"/>
  <c r="M251" i="11" s="1"/>
  <c r="M252" i="11" s="1"/>
  <c r="M253" i="11" s="1"/>
  <c r="M254" i="11" s="1"/>
  <c r="M255" i="11" s="1"/>
  <c r="M256" i="11" s="1"/>
  <c r="M257" i="11" s="1"/>
  <c r="M258" i="11" s="1"/>
  <c r="M259" i="11" s="1"/>
  <c r="M260" i="11" s="1"/>
  <c r="M261" i="11" s="1"/>
  <c r="M262" i="11" s="1"/>
  <c r="M263" i="11" s="1"/>
  <c r="M264" i="11" s="1"/>
  <c r="M265" i="11" s="1"/>
  <c r="M266" i="11" s="1"/>
  <c r="M267" i="11" s="1"/>
  <c r="M268" i="11" s="1"/>
  <c r="M269" i="11" s="1"/>
  <c r="M270" i="11" s="1"/>
  <c r="M271" i="11" s="1"/>
  <c r="M272" i="11" s="1"/>
  <c r="M273" i="11" s="1"/>
  <c r="M274" i="11" s="1"/>
  <c r="M275" i="11" s="1"/>
  <c r="M276" i="11" s="1"/>
  <c r="M277" i="11" s="1"/>
  <c r="M278" i="11" s="1"/>
  <c r="M279" i="11" s="1"/>
  <c r="M280" i="11" s="1"/>
  <c r="M281" i="11" s="1"/>
  <c r="M282" i="11" s="1"/>
  <c r="M283" i="11" s="1"/>
  <c r="M284" i="11" s="1"/>
  <c r="M285" i="11" s="1"/>
  <c r="M286" i="11" s="1"/>
  <c r="M287" i="11" s="1"/>
  <c r="M288" i="11" s="1"/>
  <c r="M289" i="11" s="1"/>
  <c r="M290" i="11" s="1"/>
  <c r="M291" i="11" s="1"/>
  <c r="M292" i="11" s="1"/>
  <c r="M293" i="11" s="1"/>
  <c r="M294" i="11" s="1"/>
  <c r="M295" i="11" s="1"/>
  <c r="M296" i="11" s="1"/>
  <c r="M297" i="11" s="1"/>
  <c r="M298" i="11" s="1"/>
  <c r="M299" i="11" s="1"/>
  <c r="M300" i="11" s="1"/>
  <c r="M301" i="11" s="1"/>
  <c r="M302" i="11" s="1"/>
  <c r="M303" i="11" s="1"/>
  <c r="M304" i="11" s="1"/>
  <c r="M305" i="11" s="1"/>
  <c r="M306" i="11" s="1"/>
  <c r="M307" i="11" s="1"/>
  <c r="M308" i="11" s="1"/>
  <c r="M309" i="11" s="1"/>
  <c r="M310" i="11" s="1"/>
  <c r="M311" i="11" s="1"/>
  <c r="M312" i="11" s="1"/>
  <c r="M313" i="11" s="1"/>
  <c r="M314" i="11" s="1"/>
  <c r="M315" i="11" s="1"/>
  <c r="M316" i="11" s="1"/>
  <c r="M317" i="11" s="1"/>
  <c r="M318" i="11" s="1"/>
  <c r="M319" i="11" s="1"/>
  <c r="M320" i="11" s="1"/>
  <c r="M321" i="11" s="1"/>
  <c r="M322" i="11" s="1"/>
  <c r="M323" i="11" s="1"/>
  <c r="M324" i="11" s="1"/>
  <c r="M325" i="11" s="1"/>
  <c r="M326" i="11" s="1"/>
  <c r="M327" i="11" s="1"/>
  <c r="M328" i="11" s="1"/>
  <c r="M329" i="11" s="1"/>
  <c r="M330" i="11" s="1"/>
  <c r="M331" i="11" s="1"/>
  <c r="M332" i="11" s="1"/>
  <c r="M333" i="11" s="1"/>
  <c r="M334" i="11" s="1"/>
  <c r="M335" i="11" s="1"/>
  <c r="M336" i="11" s="1"/>
  <c r="M337" i="11" s="1"/>
  <c r="M338" i="11" s="1"/>
  <c r="M339" i="11" s="1"/>
  <c r="M340" i="11" s="1"/>
  <c r="M341" i="11" s="1"/>
  <c r="M342" i="11" s="1"/>
  <c r="M343" i="11" s="1"/>
  <c r="M344" i="11" s="1"/>
  <c r="M345" i="11" s="1"/>
  <c r="M346" i="11" s="1"/>
  <c r="M347" i="11" s="1"/>
  <c r="M348" i="11" s="1"/>
  <c r="M349" i="11" s="1"/>
  <c r="M350" i="11" s="1"/>
  <c r="M351" i="11" s="1"/>
  <c r="N351" i="11" s="1"/>
  <c r="L351" i="11" s="1"/>
  <c r="M352" i="11"/>
  <c r="M353" i="11" s="1"/>
  <c r="L56" i="11"/>
  <c r="N57" i="11"/>
  <c r="L57" i="11"/>
  <c r="N58" i="11"/>
  <c r="L58" i="11"/>
  <c r="N59" i="11"/>
  <c r="L59" i="11"/>
  <c r="N60" i="11"/>
  <c r="L60" i="11"/>
  <c r="N61" i="11"/>
  <c r="L61" i="11"/>
  <c r="N62" i="11"/>
  <c r="L62" i="11"/>
  <c r="N63" i="11"/>
  <c r="L63" i="11"/>
  <c r="N64" i="11"/>
  <c r="L64" i="11"/>
  <c r="N65" i="11"/>
  <c r="L65" i="11"/>
  <c r="N66" i="11"/>
  <c r="L66" i="11"/>
  <c r="N67" i="11"/>
  <c r="L67" i="11"/>
  <c r="N68" i="11"/>
  <c r="L68" i="11"/>
  <c r="N69" i="11"/>
  <c r="L69" i="11"/>
  <c r="N70" i="11"/>
  <c r="L70" i="11"/>
  <c r="N71" i="11"/>
  <c r="L71" i="11"/>
  <c r="N72" i="11"/>
  <c r="L72" i="11"/>
  <c r="N73" i="11"/>
  <c r="L73" i="11"/>
  <c r="N74" i="11"/>
  <c r="L74" i="11"/>
  <c r="N75" i="11"/>
  <c r="L75" i="11"/>
  <c r="N76" i="11"/>
  <c r="L76" i="11"/>
  <c r="N77" i="11"/>
  <c r="L77" i="11"/>
  <c r="N78" i="11"/>
  <c r="L78" i="11"/>
  <c r="N79" i="11"/>
  <c r="L79" i="11"/>
  <c r="N80" i="11"/>
  <c r="L80" i="11"/>
  <c r="N81" i="11"/>
  <c r="L81" i="11"/>
  <c r="N82" i="11"/>
  <c r="L82" i="11"/>
  <c r="N83" i="11"/>
  <c r="L83" i="11"/>
  <c r="N84" i="11"/>
  <c r="L84" i="11"/>
  <c r="N85" i="11"/>
  <c r="L85" i="11"/>
  <c r="N86" i="11"/>
  <c r="L86" i="11"/>
  <c r="N87" i="11"/>
  <c r="L87" i="11"/>
  <c r="N88" i="11"/>
  <c r="L88" i="11"/>
  <c r="N89" i="11"/>
  <c r="L89" i="11"/>
  <c r="N90" i="11"/>
  <c r="L90" i="11"/>
  <c r="N91" i="11"/>
  <c r="L91" i="11"/>
  <c r="N92" i="11"/>
  <c r="L92" i="11"/>
  <c r="N93" i="11"/>
  <c r="L93" i="11"/>
  <c r="N94" i="11"/>
  <c r="L94" i="11"/>
  <c r="N95" i="11"/>
  <c r="L95" i="11"/>
  <c r="N96" i="11"/>
  <c r="L96" i="11"/>
  <c r="N97" i="11"/>
  <c r="L97" i="11"/>
  <c r="N98" i="11"/>
  <c r="L98" i="11"/>
  <c r="N99" i="11"/>
  <c r="L99" i="11"/>
  <c r="N100" i="11"/>
  <c r="L100" i="11"/>
  <c r="N101" i="11"/>
  <c r="L101" i="11"/>
  <c r="N102" i="11"/>
  <c r="L102" i="11"/>
  <c r="N103" i="11"/>
  <c r="L103" i="11"/>
  <c r="N104" i="11"/>
  <c r="L104" i="11"/>
  <c r="N105" i="11"/>
  <c r="L105" i="11"/>
  <c r="N106" i="11"/>
  <c r="L106" i="11"/>
  <c r="N107" i="11"/>
  <c r="L107" i="11"/>
  <c r="N108" i="11"/>
  <c r="L108" i="11"/>
  <c r="N109" i="11"/>
  <c r="L109" i="11"/>
  <c r="N110" i="11"/>
  <c r="L110" i="11"/>
  <c r="N111" i="11"/>
  <c r="L111" i="11"/>
  <c r="N112" i="11"/>
  <c r="L112" i="11"/>
  <c r="N113" i="11"/>
  <c r="L113" i="11"/>
  <c r="N114" i="11"/>
  <c r="L114" i="11"/>
  <c r="N115" i="11"/>
  <c r="L115" i="11"/>
  <c r="N116" i="11"/>
  <c r="L116" i="11"/>
  <c r="N117" i="11"/>
  <c r="L117" i="11"/>
  <c r="N118" i="11"/>
  <c r="L118" i="11"/>
  <c r="N119" i="11"/>
  <c r="L119" i="11"/>
  <c r="N120" i="11"/>
  <c r="L120" i="11"/>
  <c r="N121" i="11"/>
  <c r="L121" i="11"/>
  <c r="N122" i="11"/>
  <c r="L122" i="11"/>
  <c r="N123" i="11"/>
  <c r="L123" i="11"/>
  <c r="N124" i="11"/>
  <c r="L124" i="11"/>
  <c r="N125" i="11"/>
  <c r="L125" i="11"/>
  <c r="N126" i="11"/>
  <c r="L126" i="11"/>
  <c r="N127" i="11"/>
  <c r="L127" i="11"/>
  <c r="N128" i="11"/>
  <c r="L128" i="11"/>
  <c r="N129" i="11"/>
  <c r="L129" i="11"/>
  <c r="N130" i="11"/>
  <c r="L130" i="11"/>
  <c r="N131" i="11"/>
  <c r="L131" i="11"/>
  <c r="N132" i="11"/>
  <c r="L132" i="11"/>
  <c r="N133" i="11"/>
  <c r="L133" i="11"/>
  <c r="N134" i="11"/>
  <c r="L134" i="11"/>
  <c r="N135" i="11"/>
  <c r="L135" i="11"/>
  <c r="N136" i="11"/>
  <c r="L136" i="11"/>
  <c r="N137" i="11"/>
  <c r="L137" i="11"/>
  <c r="N138" i="11"/>
  <c r="L138" i="11"/>
  <c r="N139" i="11"/>
  <c r="L139" i="11"/>
  <c r="N140" i="11"/>
  <c r="L140" i="11"/>
  <c r="N141" i="11"/>
  <c r="L141" i="11"/>
  <c r="N142" i="11"/>
  <c r="L142" i="11"/>
  <c r="N143" i="11"/>
  <c r="L143" i="11"/>
  <c r="N144" i="11"/>
  <c r="L144" i="11"/>
  <c r="N145" i="11"/>
  <c r="L145" i="11"/>
  <c r="N146" i="11"/>
  <c r="L146" i="11"/>
  <c r="N147" i="11"/>
  <c r="L147" i="11"/>
  <c r="N148" i="11"/>
  <c r="L148" i="11"/>
  <c r="N149" i="11"/>
  <c r="L149" i="11"/>
  <c r="N150" i="11"/>
  <c r="L150" i="11"/>
  <c r="N151" i="11"/>
  <c r="L151" i="11"/>
  <c r="N152" i="11"/>
  <c r="L152" i="11"/>
  <c r="N153" i="11"/>
  <c r="L153" i="11"/>
  <c r="N154" i="11"/>
  <c r="L154" i="11"/>
  <c r="N155" i="11"/>
  <c r="L155" i="11"/>
  <c r="N156" i="11"/>
  <c r="L156" i="11"/>
  <c r="N157" i="11"/>
  <c r="L157" i="11"/>
  <c r="N158" i="11"/>
  <c r="L158" i="11"/>
  <c r="N159" i="11"/>
  <c r="L159" i="11"/>
  <c r="N160" i="11"/>
  <c r="L160" i="11"/>
  <c r="N161" i="11"/>
  <c r="L161" i="11"/>
  <c r="N162" i="11"/>
  <c r="L162" i="11"/>
  <c r="N163" i="11"/>
  <c r="L163" i="11"/>
  <c r="N164" i="11"/>
  <c r="L164" i="11"/>
  <c r="N165" i="11"/>
  <c r="L165" i="11"/>
  <c r="N166" i="11"/>
  <c r="L166" i="11"/>
  <c r="N167" i="11"/>
  <c r="L167" i="11"/>
  <c r="N168" i="11"/>
  <c r="L168" i="11"/>
  <c r="N169" i="11"/>
  <c r="L169" i="11"/>
  <c r="N170" i="11"/>
  <c r="L170" i="11"/>
  <c r="N171" i="11"/>
  <c r="L171" i="11"/>
  <c r="N172" i="11"/>
  <c r="L172" i="11"/>
  <c r="N173" i="11"/>
  <c r="L173" i="11"/>
  <c r="N174" i="11"/>
  <c r="L174" i="11"/>
  <c r="N175" i="11"/>
  <c r="L175" i="11"/>
  <c r="N176" i="11"/>
  <c r="L176" i="11"/>
  <c r="N177" i="11"/>
  <c r="L177" i="11"/>
  <c r="N178" i="11"/>
  <c r="L178" i="11"/>
  <c r="N179" i="11"/>
  <c r="L179" i="11"/>
  <c r="N180" i="11"/>
  <c r="L180" i="11"/>
  <c r="N181" i="11"/>
  <c r="L181" i="11"/>
  <c r="N182" i="11"/>
  <c r="L182" i="11"/>
  <c r="N183" i="11"/>
  <c r="L183" i="11"/>
  <c r="N184" i="11"/>
  <c r="L184" i="11"/>
  <c r="N185" i="11"/>
  <c r="L185" i="11"/>
  <c r="N186" i="11"/>
  <c r="L186" i="11"/>
  <c r="N187" i="11"/>
  <c r="L187" i="11"/>
  <c r="N188" i="11"/>
  <c r="L188" i="11"/>
  <c r="N189" i="11"/>
  <c r="L189" i="11"/>
  <c r="N190" i="11"/>
  <c r="L190" i="11"/>
  <c r="N191" i="11"/>
  <c r="L191" i="11"/>
  <c r="N192" i="11"/>
  <c r="L192" i="11"/>
  <c r="N193" i="11"/>
  <c r="L193" i="11"/>
  <c r="N194" i="11"/>
  <c r="L194" i="11"/>
  <c r="N195" i="11"/>
  <c r="L195" i="11"/>
  <c r="N196" i="11"/>
  <c r="L196" i="11"/>
  <c r="N197" i="11"/>
  <c r="L197" i="11"/>
  <c r="N198" i="11"/>
  <c r="L198" i="11"/>
  <c r="N199" i="11"/>
  <c r="L199" i="11"/>
  <c r="N200" i="11"/>
  <c r="L200" i="11"/>
  <c r="N201" i="11"/>
  <c r="L201" i="11"/>
  <c r="N202" i="11"/>
  <c r="L202" i="11"/>
  <c r="N203" i="11"/>
  <c r="L203" i="11"/>
  <c r="N204" i="11"/>
  <c r="L204" i="11"/>
  <c r="N205" i="11"/>
  <c r="L205" i="11"/>
  <c r="N206" i="11"/>
  <c r="L206" i="11"/>
  <c r="N207" i="11"/>
  <c r="L207" i="11"/>
  <c r="N208" i="11"/>
  <c r="L208" i="11"/>
  <c r="N209" i="11"/>
  <c r="L209" i="11"/>
  <c r="N210" i="11"/>
  <c r="L210" i="11"/>
  <c r="N211" i="11"/>
  <c r="L211" i="11"/>
  <c r="N212" i="11"/>
  <c r="L212" i="11"/>
  <c r="N213" i="11"/>
  <c r="L213" i="11"/>
  <c r="N214" i="11"/>
  <c r="L214" i="11"/>
  <c r="N215" i="11"/>
  <c r="L215" i="11"/>
  <c r="N216" i="11"/>
  <c r="L216" i="11"/>
  <c r="N217" i="11"/>
  <c r="L217" i="11"/>
  <c r="N218" i="11"/>
  <c r="L218" i="11"/>
  <c r="N219" i="11"/>
  <c r="L219" i="11"/>
  <c r="N220" i="11"/>
  <c r="L220" i="11"/>
  <c r="N221" i="11"/>
  <c r="L221" i="11"/>
  <c r="N222" i="11"/>
  <c r="L222" i="11"/>
  <c r="N223" i="11"/>
  <c r="L223" i="11"/>
  <c r="N224" i="11"/>
  <c r="L224" i="11"/>
  <c r="N225" i="11"/>
  <c r="L225" i="11"/>
  <c r="N226" i="11"/>
  <c r="L226" i="11"/>
  <c r="N227" i="11"/>
  <c r="L227" i="11"/>
  <c r="N228" i="11"/>
  <c r="L228" i="11"/>
  <c r="N229" i="11"/>
  <c r="L229" i="11"/>
  <c r="N230" i="11"/>
  <c r="L230" i="11"/>
  <c r="N231" i="11"/>
  <c r="L231" i="11"/>
  <c r="N232" i="11"/>
  <c r="L232" i="11"/>
  <c r="N233" i="11"/>
  <c r="L233" i="11"/>
  <c r="N234" i="11"/>
  <c r="L234" i="11"/>
  <c r="N235" i="11"/>
  <c r="L235" i="11"/>
  <c r="N236" i="11"/>
  <c r="L236" i="11"/>
  <c r="N237" i="11"/>
  <c r="L237" i="11"/>
  <c r="N238" i="11"/>
  <c r="L238" i="11"/>
  <c r="N239" i="11"/>
  <c r="L239" i="11"/>
  <c r="N240" i="11"/>
  <c r="L240" i="11"/>
  <c r="N241" i="11"/>
  <c r="L241" i="11"/>
  <c r="N242" i="11"/>
  <c r="L242" i="11"/>
  <c r="N243" i="11"/>
  <c r="L243" i="11"/>
  <c r="N244" i="11"/>
  <c r="L244" i="11"/>
  <c r="N245" i="11"/>
  <c r="L245" i="11"/>
  <c r="N246" i="11"/>
  <c r="L246" i="11"/>
  <c r="N247" i="11"/>
  <c r="L247" i="11"/>
  <c r="N248" i="11"/>
  <c r="L248" i="11"/>
  <c r="N249" i="11"/>
  <c r="L249" i="11"/>
  <c r="N250" i="11"/>
  <c r="L250" i="11"/>
  <c r="N251" i="11"/>
  <c r="L251" i="11"/>
  <c r="N252" i="11"/>
  <c r="L252" i="11"/>
  <c r="N253" i="11"/>
  <c r="L253" i="11"/>
  <c r="N254" i="11"/>
  <c r="L254" i="11"/>
  <c r="N255" i="11"/>
  <c r="L255" i="11"/>
  <c r="N256" i="11"/>
  <c r="L256" i="11"/>
  <c r="N257" i="11"/>
  <c r="L257" i="11"/>
  <c r="N258" i="11"/>
  <c r="L258" i="11"/>
  <c r="N259" i="11"/>
  <c r="L259" i="11"/>
  <c r="N260" i="11"/>
  <c r="L260" i="11"/>
  <c r="N261" i="11"/>
  <c r="L261" i="11"/>
  <c r="N262" i="11"/>
  <c r="L262" i="11"/>
  <c r="N263" i="11"/>
  <c r="L263" i="11"/>
  <c r="N264" i="11"/>
  <c r="L264" i="11"/>
  <c r="N265" i="11"/>
  <c r="L265" i="11"/>
  <c r="N266" i="11"/>
  <c r="L266" i="11"/>
  <c r="N267" i="11"/>
  <c r="L267" i="11"/>
  <c r="N268" i="11"/>
  <c r="L268" i="11"/>
  <c r="N269" i="11"/>
  <c r="L269" i="11"/>
  <c r="N270" i="11"/>
  <c r="L270" i="11"/>
  <c r="N271" i="11"/>
  <c r="L271" i="11"/>
  <c r="N272" i="11"/>
  <c r="L272" i="11"/>
  <c r="N273" i="11"/>
  <c r="L273" i="11"/>
  <c r="N274" i="11"/>
  <c r="L274" i="11"/>
  <c r="N275" i="11"/>
  <c r="L275" i="11"/>
  <c r="N276" i="11"/>
  <c r="L276" i="11"/>
  <c r="N277" i="11"/>
  <c r="L277" i="11"/>
  <c r="N278" i="11"/>
  <c r="L278" i="11"/>
  <c r="N279" i="11"/>
  <c r="L279" i="11"/>
  <c r="N280" i="11"/>
  <c r="L280" i="11"/>
  <c r="N281" i="11"/>
  <c r="L281" i="11"/>
  <c r="N282" i="11"/>
  <c r="L282" i="11"/>
  <c r="N283" i="11"/>
  <c r="L283" i="11"/>
  <c r="N284" i="11"/>
  <c r="L284" i="11"/>
  <c r="N285" i="11"/>
  <c r="L285" i="11"/>
  <c r="N286" i="11"/>
  <c r="L286" i="11"/>
  <c r="N287" i="11"/>
  <c r="L287" i="11"/>
  <c r="N288" i="11"/>
  <c r="L288" i="11"/>
  <c r="N289" i="11"/>
  <c r="L289" i="11"/>
  <c r="N290" i="11"/>
  <c r="L290" i="11"/>
  <c r="N291" i="11"/>
  <c r="L291" i="11"/>
  <c r="N292" i="11"/>
  <c r="L292" i="11"/>
  <c r="N293" i="11"/>
  <c r="L293" i="11"/>
  <c r="N294" i="11"/>
  <c r="L294" i="11"/>
  <c r="N295" i="11"/>
  <c r="L295" i="11"/>
  <c r="N296" i="11"/>
  <c r="L296" i="11"/>
  <c r="N297" i="11"/>
  <c r="L297" i="11"/>
  <c r="N298" i="11"/>
  <c r="L298" i="11"/>
  <c r="N299" i="11"/>
  <c r="L299" i="11"/>
  <c r="N300" i="11"/>
  <c r="L300" i="11"/>
  <c r="N301" i="11"/>
  <c r="L301" i="11"/>
  <c r="N302" i="11"/>
  <c r="L302" i="11"/>
  <c r="N303" i="11"/>
  <c r="L303" i="11"/>
  <c r="N304" i="11"/>
  <c r="L304" i="11"/>
  <c r="N305" i="11"/>
  <c r="L305" i="11"/>
  <c r="N306" i="11"/>
  <c r="L306" i="11"/>
  <c r="N307" i="11"/>
  <c r="L307" i="11"/>
  <c r="N308" i="11"/>
  <c r="L308" i="11"/>
  <c r="N309" i="11"/>
  <c r="L309" i="11"/>
  <c r="N310" i="11"/>
  <c r="L310" i="11"/>
  <c r="N311" i="11"/>
  <c r="L311" i="11"/>
  <c r="N312" i="11"/>
  <c r="L312" i="11"/>
  <c r="N313" i="11"/>
  <c r="L313" i="11"/>
  <c r="N314" i="11"/>
  <c r="L314" i="11"/>
  <c r="N315" i="11"/>
  <c r="L315" i="11"/>
  <c r="N316" i="11"/>
  <c r="L316" i="11"/>
  <c r="N317" i="11"/>
  <c r="L317" i="11"/>
  <c r="N318" i="11"/>
  <c r="L318" i="11"/>
  <c r="N319" i="11"/>
  <c r="L319" i="11"/>
  <c r="N320" i="11"/>
  <c r="L320" i="11"/>
  <c r="N321" i="11"/>
  <c r="L321" i="11"/>
  <c r="N322" i="11"/>
  <c r="L322" i="11"/>
  <c r="N323" i="11"/>
  <c r="L323" i="11"/>
  <c r="N324" i="11"/>
  <c r="L324" i="11"/>
  <c r="N325" i="11"/>
  <c r="L325" i="11"/>
  <c r="N326" i="11"/>
  <c r="L326" i="11"/>
  <c r="N327" i="11"/>
  <c r="L327" i="11"/>
  <c r="N328" i="11"/>
  <c r="L328" i="11"/>
  <c r="N329" i="11"/>
  <c r="L329" i="11"/>
  <c r="N330" i="11"/>
  <c r="L330" i="11"/>
  <c r="N331" i="11"/>
  <c r="L331" i="11"/>
  <c r="N332" i="11"/>
  <c r="L332" i="11"/>
  <c r="N333" i="11"/>
  <c r="L333" i="11"/>
  <c r="N334" i="11"/>
  <c r="L334" i="11"/>
  <c r="N335" i="11"/>
  <c r="L335" i="11"/>
  <c r="N336" i="11"/>
  <c r="L336" i="11"/>
  <c r="N337" i="11"/>
  <c r="L337" i="11"/>
  <c r="N338" i="11"/>
  <c r="L338" i="11"/>
  <c r="N339" i="11"/>
  <c r="L339" i="11"/>
  <c r="N340" i="11"/>
  <c r="L340" i="11"/>
  <c r="N341" i="11"/>
  <c r="L341" i="11"/>
  <c r="N342" i="11"/>
  <c r="L342" i="11"/>
  <c r="N343" i="11"/>
  <c r="L343" i="11"/>
  <c r="N344" i="11"/>
  <c r="L344" i="11"/>
  <c r="N345" i="11"/>
  <c r="L345" i="11"/>
  <c r="N346" i="11"/>
  <c r="L346" i="11"/>
  <c r="N347" i="11"/>
  <c r="L347" i="11"/>
  <c r="N348" i="11"/>
  <c r="L348" i="11"/>
  <c r="N349" i="11"/>
  <c r="L349" i="11"/>
  <c r="N350" i="11"/>
  <c r="L350" i="11"/>
  <c r="N352" i="11"/>
  <c r="L352" i="11"/>
  <c r="J351" i="11"/>
  <c r="J56" i="11"/>
  <c r="K56" i="11"/>
  <c r="J57" i="11"/>
  <c r="K57" i="11"/>
  <c r="J58" i="11"/>
  <c r="K58" i="11"/>
  <c r="J59" i="11"/>
  <c r="K59" i="11"/>
  <c r="J60" i="11"/>
  <c r="K60" i="11"/>
  <c r="J61" i="11"/>
  <c r="K61" i="11"/>
  <c r="J62" i="11"/>
  <c r="K62" i="11"/>
  <c r="J63" i="11"/>
  <c r="K63" i="11"/>
  <c r="J64" i="11"/>
  <c r="K64" i="11"/>
  <c r="J65" i="11"/>
  <c r="K65" i="11"/>
  <c r="J66" i="11"/>
  <c r="K66" i="11"/>
  <c r="J67" i="11"/>
  <c r="K67" i="11"/>
  <c r="J68" i="11"/>
  <c r="K68" i="11"/>
  <c r="J69" i="11"/>
  <c r="K69" i="11"/>
  <c r="J70" i="11"/>
  <c r="K70" i="11"/>
  <c r="J71" i="11"/>
  <c r="K71" i="11"/>
  <c r="J72" i="11"/>
  <c r="K72" i="11"/>
  <c r="J73" i="11"/>
  <c r="K73" i="11"/>
  <c r="J74" i="11"/>
  <c r="K74" i="11"/>
  <c r="J75" i="11"/>
  <c r="K75" i="11"/>
  <c r="J76" i="11"/>
  <c r="K76" i="11"/>
  <c r="J77" i="11"/>
  <c r="K77" i="11"/>
  <c r="J78" i="11"/>
  <c r="K78" i="11"/>
  <c r="J79" i="11"/>
  <c r="K79" i="11"/>
  <c r="J80" i="11"/>
  <c r="K80" i="11"/>
  <c r="J81" i="11"/>
  <c r="K81" i="11"/>
  <c r="J82" i="11"/>
  <c r="K82" i="11"/>
  <c r="J83" i="11"/>
  <c r="K83" i="11"/>
  <c r="J84" i="11"/>
  <c r="K84" i="11"/>
  <c r="J85" i="11"/>
  <c r="K85" i="11"/>
  <c r="J86" i="11"/>
  <c r="K86" i="11"/>
  <c r="J87" i="11"/>
  <c r="K87" i="11"/>
  <c r="J88" i="11"/>
  <c r="K88" i="11"/>
  <c r="J89" i="11"/>
  <c r="K89" i="11"/>
  <c r="J90" i="11"/>
  <c r="K90" i="11"/>
  <c r="J91" i="11"/>
  <c r="K91" i="11"/>
  <c r="J92" i="11"/>
  <c r="K92" i="11"/>
  <c r="J93" i="11"/>
  <c r="K93" i="11"/>
  <c r="J94" i="11"/>
  <c r="K94" i="11"/>
  <c r="J95" i="11"/>
  <c r="K95" i="11"/>
  <c r="J96" i="11"/>
  <c r="K96" i="11"/>
  <c r="J97" i="11"/>
  <c r="K97" i="11"/>
  <c r="J98" i="11"/>
  <c r="K98" i="11"/>
  <c r="J99" i="11"/>
  <c r="K99" i="11"/>
  <c r="J100" i="11"/>
  <c r="K100" i="11"/>
  <c r="J101" i="11"/>
  <c r="K101" i="11"/>
  <c r="J102" i="11"/>
  <c r="K102" i="11"/>
  <c r="J103" i="11"/>
  <c r="K103" i="11"/>
  <c r="J104" i="11"/>
  <c r="K104" i="11"/>
  <c r="J105" i="11"/>
  <c r="K105" i="11"/>
  <c r="J106" i="11"/>
  <c r="K106" i="11"/>
  <c r="J107" i="11"/>
  <c r="K107" i="11"/>
  <c r="J108" i="11"/>
  <c r="K108" i="11"/>
  <c r="J109" i="11"/>
  <c r="K109" i="11"/>
  <c r="J110" i="11"/>
  <c r="K110" i="11"/>
  <c r="J111" i="11"/>
  <c r="K111" i="11"/>
  <c r="J112" i="11"/>
  <c r="K112" i="11"/>
  <c r="J113" i="11"/>
  <c r="K113" i="11"/>
  <c r="J114" i="11"/>
  <c r="K114" i="11"/>
  <c r="J115" i="11"/>
  <c r="K115" i="11"/>
  <c r="J116" i="11"/>
  <c r="K116" i="11"/>
  <c r="J117" i="11"/>
  <c r="K117" i="11"/>
  <c r="J118" i="11"/>
  <c r="K118" i="11"/>
  <c r="J119" i="11"/>
  <c r="K119" i="11"/>
  <c r="J120" i="11"/>
  <c r="K120" i="11"/>
  <c r="J121" i="11"/>
  <c r="K121" i="11"/>
  <c r="J122" i="11"/>
  <c r="K122" i="11"/>
  <c r="J123" i="11"/>
  <c r="K123" i="11"/>
  <c r="J124" i="11"/>
  <c r="K124" i="11"/>
  <c r="J125" i="11"/>
  <c r="K125" i="11"/>
  <c r="J126" i="11"/>
  <c r="K126" i="11"/>
  <c r="J127" i="11"/>
  <c r="K127" i="11"/>
  <c r="J128" i="11"/>
  <c r="K128" i="11"/>
  <c r="J129" i="11"/>
  <c r="K129" i="11"/>
  <c r="J130" i="11"/>
  <c r="K130" i="11"/>
  <c r="J131" i="11"/>
  <c r="K131" i="11"/>
  <c r="J132" i="11"/>
  <c r="K132" i="11"/>
  <c r="J133" i="11"/>
  <c r="K133" i="11"/>
  <c r="J134" i="11"/>
  <c r="K134" i="11"/>
  <c r="J135" i="11"/>
  <c r="K135" i="11"/>
  <c r="J136" i="11"/>
  <c r="K136" i="11"/>
  <c r="J137" i="11"/>
  <c r="K137" i="11"/>
  <c r="J138" i="11"/>
  <c r="K138" i="11"/>
  <c r="J139" i="11"/>
  <c r="K139" i="11"/>
  <c r="J140" i="11"/>
  <c r="K140" i="11"/>
  <c r="J141" i="11"/>
  <c r="K141" i="11"/>
  <c r="J142" i="11"/>
  <c r="K142" i="11"/>
  <c r="J143" i="11"/>
  <c r="K143" i="11"/>
  <c r="J144" i="11"/>
  <c r="K144" i="11"/>
  <c r="J145" i="11"/>
  <c r="K145" i="11"/>
  <c r="J146" i="11"/>
  <c r="K146" i="11"/>
  <c r="J147" i="11"/>
  <c r="K147" i="11"/>
  <c r="J148" i="11"/>
  <c r="K148" i="11"/>
  <c r="J149" i="11"/>
  <c r="K149" i="11"/>
  <c r="J150" i="11"/>
  <c r="K150" i="11"/>
  <c r="J151" i="11"/>
  <c r="K151" i="11"/>
  <c r="J152" i="11"/>
  <c r="K152" i="11"/>
  <c r="J153" i="11"/>
  <c r="K153" i="11"/>
  <c r="J154" i="11"/>
  <c r="K154" i="11"/>
  <c r="J155" i="11"/>
  <c r="K155" i="11"/>
  <c r="J156" i="11"/>
  <c r="K156" i="11"/>
  <c r="J157" i="11"/>
  <c r="K157" i="11"/>
  <c r="J158" i="11"/>
  <c r="K158" i="11"/>
  <c r="J159" i="11"/>
  <c r="K159" i="11"/>
  <c r="J160" i="11"/>
  <c r="K160" i="11"/>
  <c r="J161" i="11"/>
  <c r="K161" i="11"/>
  <c r="J162" i="11"/>
  <c r="K162" i="11"/>
  <c r="J163" i="11"/>
  <c r="K163" i="11"/>
  <c r="J164" i="11"/>
  <c r="K164" i="11"/>
  <c r="J165" i="11"/>
  <c r="K165" i="11"/>
  <c r="J166" i="11"/>
  <c r="K166" i="11"/>
  <c r="J167" i="11"/>
  <c r="K167" i="11"/>
  <c r="J168" i="11"/>
  <c r="K168" i="11"/>
  <c r="J169" i="11"/>
  <c r="K169" i="11"/>
  <c r="J170" i="11"/>
  <c r="K170" i="11"/>
  <c r="J171" i="11"/>
  <c r="K171" i="11"/>
  <c r="J172" i="11"/>
  <c r="K172" i="11"/>
  <c r="J173" i="11"/>
  <c r="K173" i="11"/>
  <c r="J174" i="11"/>
  <c r="K174" i="11"/>
  <c r="J175" i="11"/>
  <c r="K175" i="11"/>
  <c r="J176" i="11"/>
  <c r="K176" i="11"/>
  <c r="J177" i="11"/>
  <c r="K177" i="11"/>
  <c r="J178" i="11"/>
  <c r="K178" i="11"/>
  <c r="J179" i="11"/>
  <c r="K179" i="11"/>
  <c r="J180" i="11"/>
  <c r="K180" i="11"/>
  <c r="J181" i="11"/>
  <c r="K181" i="11"/>
  <c r="J182" i="11"/>
  <c r="K182" i="11"/>
  <c r="J183" i="11"/>
  <c r="K183" i="11"/>
  <c r="J184" i="11"/>
  <c r="K184" i="11"/>
  <c r="J185" i="11"/>
  <c r="K185" i="11"/>
  <c r="J186" i="11"/>
  <c r="K186" i="11"/>
  <c r="J187" i="11"/>
  <c r="K187" i="11"/>
  <c r="J188" i="11"/>
  <c r="K188" i="11"/>
  <c r="J189" i="11"/>
  <c r="K189" i="11"/>
  <c r="J190" i="11"/>
  <c r="K190" i="11"/>
  <c r="J191" i="11"/>
  <c r="K191" i="11"/>
  <c r="J192" i="11"/>
  <c r="K192" i="11"/>
  <c r="J193" i="11"/>
  <c r="K193" i="11"/>
  <c r="J194" i="11"/>
  <c r="K194" i="11"/>
  <c r="J195" i="11"/>
  <c r="K195" i="11"/>
  <c r="J196" i="11"/>
  <c r="K196" i="11"/>
  <c r="J197" i="11"/>
  <c r="K197" i="11"/>
  <c r="J198" i="11"/>
  <c r="K198" i="11"/>
  <c r="J199" i="11"/>
  <c r="K199" i="11"/>
  <c r="J200" i="11"/>
  <c r="K200" i="11"/>
  <c r="J201" i="11"/>
  <c r="K201" i="11"/>
  <c r="J202" i="11"/>
  <c r="K202" i="11"/>
  <c r="J203" i="11"/>
  <c r="K203" i="11"/>
  <c r="J204" i="11"/>
  <c r="K204" i="11"/>
  <c r="J205" i="11"/>
  <c r="K205" i="11"/>
  <c r="J206" i="11"/>
  <c r="K206" i="11"/>
  <c r="J207" i="11"/>
  <c r="K207" i="11"/>
  <c r="J208" i="11"/>
  <c r="K208" i="11"/>
  <c r="J209" i="11"/>
  <c r="K209" i="11"/>
  <c r="J210" i="11"/>
  <c r="K210" i="11"/>
  <c r="J211" i="11"/>
  <c r="K211" i="11"/>
  <c r="J212" i="11"/>
  <c r="K212" i="11"/>
  <c r="J213" i="11"/>
  <c r="K213" i="11"/>
  <c r="J214" i="11"/>
  <c r="K214" i="11"/>
  <c r="J215" i="11"/>
  <c r="K215" i="11"/>
  <c r="J216" i="11"/>
  <c r="K216" i="11"/>
  <c r="J217" i="11"/>
  <c r="K217" i="11"/>
  <c r="J218" i="11"/>
  <c r="K218" i="11"/>
  <c r="J219" i="11"/>
  <c r="K219" i="11"/>
  <c r="J220" i="11"/>
  <c r="K220" i="11"/>
  <c r="J221" i="11"/>
  <c r="K221" i="11"/>
  <c r="J222" i="11"/>
  <c r="K222" i="11"/>
  <c r="J223" i="11"/>
  <c r="K223" i="11"/>
  <c r="J224" i="11"/>
  <c r="K224" i="11"/>
  <c r="J225" i="11"/>
  <c r="K225" i="11"/>
  <c r="J226" i="11"/>
  <c r="K226" i="11"/>
  <c r="J227" i="11"/>
  <c r="K227" i="11"/>
  <c r="J228" i="11"/>
  <c r="K228" i="11"/>
  <c r="J229" i="11"/>
  <c r="K229" i="11"/>
  <c r="J230" i="11"/>
  <c r="K230" i="11"/>
  <c r="J231" i="11"/>
  <c r="K231" i="11"/>
  <c r="J232" i="11"/>
  <c r="K232" i="11"/>
  <c r="J233" i="11"/>
  <c r="K233" i="11"/>
  <c r="J234" i="11"/>
  <c r="K234" i="11"/>
  <c r="J235" i="11"/>
  <c r="K235" i="11"/>
  <c r="J236" i="11"/>
  <c r="K236" i="11"/>
  <c r="J237" i="11"/>
  <c r="K237" i="11"/>
  <c r="J238" i="11"/>
  <c r="K238" i="11"/>
  <c r="J239" i="11"/>
  <c r="K239" i="11"/>
  <c r="J240" i="11"/>
  <c r="K240" i="11"/>
  <c r="J241" i="11"/>
  <c r="K241" i="11"/>
  <c r="J242" i="11"/>
  <c r="K242" i="11"/>
  <c r="J243" i="11"/>
  <c r="K243" i="11"/>
  <c r="J244" i="11"/>
  <c r="K244" i="11"/>
  <c r="J245" i="11"/>
  <c r="K245" i="11"/>
  <c r="J246" i="11"/>
  <c r="K246" i="11"/>
  <c r="J247" i="11"/>
  <c r="K247" i="11"/>
  <c r="J248" i="11"/>
  <c r="K248" i="11"/>
  <c r="J249" i="11"/>
  <c r="K249" i="11"/>
  <c r="J250" i="11"/>
  <c r="K250" i="11"/>
  <c r="J251" i="11"/>
  <c r="K251" i="11"/>
  <c r="J252" i="11"/>
  <c r="K252" i="11"/>
  <c r="J253" i="11"/>
  <c r="K253" i="11"/>
  <c r="J254" i="11"/>
  <c r="K254" i="11"/>
  <c r="J255" i="11"/>
  <c r="K255" i="11"/>
  <c r="J256" i="11"/>
  <c r="K256" i="11"/>
  <c r="J257" i="11"/>
  <c r="K257" i="11"/>
  <c r="J258" i="11"/>
  <c r="K258" i="11"/>
  <c r="J259" i="11"/>
  <c r="K259" i="11"/>
  <c r="J260" i="11"/>
  <c r="K260" i="11"/>
  <c r="J261" i="11"/>
  <c r="K261" i="11"/>
  <c r="J262" i="11"/>
  <c r="K262" i="11"/>
  <c r="J263" i="11"/>
  <c r="K263" i="11"/>
  <c r="J264" i="11"/>
  <c r="K264" i="11"/>
  <c r="J265" i="11"/>
  <c r="K265" i="11"/>
  <c r="J266" i="11"/>
  <c r="K266" i="11"/>
  <c r="J267" i="11"/>
  <c r="K267" i="11"/>
  <c r="J268" i="11"/>
  <c r="K268" i="11"/>
  <c r="J269" i="11"/>
  <c r="K269" i="11"/>
  <c r="J270" i="11"/>
  <c r="K270" i="11"/>
  <c r="J271" i="11"/>
  <c r="K271" i="11"/>
  <c r="J272" i="11"/>
  <c r="K272" i="11"/>
  <c r="J273" i="11"/>
  <c r="K273" i="11"/>
  <c r="J274" i="11"/>
  <c r="K274" i="11"/>
  <c r="J275" i="11"/>
  <c r="K275" i="11"/>
  <c r="J276" i="11"/>
  <c r="K276" i="11"/>
  <c r="J277" i="11"/>
  <c r="K277" i="11"/>
  <c r="J278" i="11"/>
  <c r="K278" i="11"/>
  <c r="J279" i="11"/>
  <c r="K279" i="11"/>
  <c r="J280" i="11"/>
  <c r="K280" i="11"/>
  <c r="J281" i="11"/>
  <c r="K281" i="11"/>
  <c r="J282" i="11"/>
  <c r="K282" i="11"/>
  <c r="J283" i="11"/>
  <c r="K283" i="11"/>
  <c r="J284" i="11"/>
  <c r="K284" i="11"/>
  <c r="J285" i="11"/>
  <c r="K285" i="11"/>
  <c r="J286" i="11"/>
  <c r="K286" i="11"/>
  <c r="J287" i="11"/>
  <c r="K287" i="11"/>
  <c r="J288" i="11"/>
  <c r="K288" i="11"/>
  <c r="J289" i="11"/>
  <c r="K289" i="11"/>
  <c r="J290" i="11"/>
  <c r="K290" i="11"/>
  <c r="J291" i="11"/>
  <c r="K291" i="11"/>
  <c r="J292" i="11"/>
  <c r="K292" i="11"/>
  <c r="J293" i="11"/>
  <c r="K293" i="11"/>
  <c r="J294" i="11"/>
  <c r="K294" i="11"/>
  <c r="J295" i="11"/>
  <c r="K295" i="11"/>
  <c r="J296" i="11"/>
  <c r="K296" i="11"/>
  <c r="J297" i="11"/>
  <c r="K297" i="11"/>
  <c r="J298" i="11"/>
  <c r="K298" i="11"/>
  <c r="J299" i="11"/>
  <c r="K299" i="11"/>
  <c r="J300" i="11"/>
  <c r="K300" i="11"/>
  <c r="J301" i="11"/>
  <c r="K301" i="11"/>
  <c r="J302" i="11"/>
  <c r="K302" i="11"/>
  <c r="J303" i="11"/>
  <c r="K303" i="11"/>
  <c r="J304" i="11"/>
  <c r="K304" i="11"/>
  <c r="J305" i="11"/>
  <c r="K305" i="11"/>
  <c r="J306" i="11"/>
  <c r="K306" i="11"/>
  <c r="J307" i="11"/>
  <c r="K307" i="11"/>
  <c r="J308" i="11"/>
  <c r="K308" i="11"/>
  <c r="J309" i="11"/>
  <c r="K309" i="11"/>
  <c r="J310" i="11"/>
  <c r="K310" i="11"/>
  <c r="J311" i="11"/>
  <c r="K311" i="11"/>
  <c r="J312" i="11"/>
  <c r="K312" i="11"/>
  <c r="J313" i="11"/>
  <c r="K313" i="11"/>
  <c r="J314" i="11"/>
  <c r="K314" i="11"/>
  <c r="J315" i="11"/>
  <c r="K315" i="11"/>
  <c r="J316" i="11"/>
  <c r="K316" i="11"/>
  <c r="J317" i="11"/>
  <c r="K317" i="11"/>
  <c r="J318" i="11"/>
  <c r="K318" i="11"/>
  <c r="J319" i="11"/>
  <c r="K319" i="11"/>
  <c r="J320" i="11"/>
  <c r="K320" i="11"/>
  <c r="J321" i="11"/>
  <c r="K321" i="11"/>
  <c r="J322" i="11"/>
  <c r="K322" i="11"/>
  <c r="J323" i="11"/>
  <c r="K323" i="11"/>
  <c r="J324" i="11"/>
  <c r="K324" i="11"/>
  <c r="J325" i="11"/>
  <c r="K325" i="11"/>
  <c r="J326" i="11"/>
  <c r="K326" i="11"/>
  <c r="J327" i="11"/>
  <c r="K327" i="11"/>
  <c r="J328" i="11"/>
  <c r="K328" i="11"/>
  <c r="J329" i="11"/>
  <c r="K329" i="11"/>
  <c r="J330" i="11"/>
  <c r="K330" i="11"/>
  <c r="J331" i="11"/>
  <c r="K331" i="11"/>
  <c r="J332" i="11"/>
  <c r="K332" i="11"/>
  <c r="J333" i="11"/>
  <c r="K333" i="11"/>
  <c r="J334" i="11"/>
  <c r="K334" i="11"/>
  <c r="J335" i="11"/>
  <c r="K335" i="11"/>
  <c r="J336" i="11"/>
  <c r="K336" i="11"/>
  <c r="J337" i="11"/>
  <c r="K337" i="11"/>
  <c r="J338" i="11"/>
  <c r="K338" i="11"/>
  <c r="J339" i="11"/>
  <c r="K339" i="11"/>
  <c r="J340" i="11"/>
  <c r="K340" i="11"/>
  <c r="J341" i="11"/>
  <c r="K341" i="11"/>
  <c r="J342" i="11"/>
  <c r="K342" i="11"/>
  <c r="J343" i="11"/>
  <c r="K343" i="11"/>
  <c r="J344" i="11"/>
  <c r="K344" i="11"/>
  <c r="J345" i="11"/>
  <c r="K345" i="11"/>
  <c r="J346" i="11"/>
  <c r="K346" i="11"/>
  <c r="J347" i="11"/>
  <c r="K347" i="11"/>
  <c r="J348" i="11"/>
  <c r="K348" i="11"/>
  <c r="J349" i="11"/>
  <c r="K349" i="11"/>
  <c r="J350" i="11"/>
  <c r="K350" i="11"/>
  <c r="K351" i="11"/>
  <c r="J352" i="11"/>
  <c r="K352" i="11"/>
  <c r="P73" i="22" l="1"/>
  <c r="B194" i="12"/>
  <c r="P73" i="19"/>
  <c r="B134" i="12"/>
  <c r="G18" i="18"/>
  <c r="F107" i="12"/>
  <c r="T71" i="18"/>
  <c r="P73" i="20"/>
  <c r="B154" i="12"/>
  <c r="T71" i="19"/>
  <c r="F127" i="12"/>
  <c r="G18" i="19"/>
  <c r="P73" i="21"/>
  <c r="B174" i="12"/>
  <c r="G18" i="20"/>
  <c r="F147" i="12"/>
  <c r="T71" i="20"/>
  <c r="F187" i="12"/>
  <c r="G18" i="22"/>
  <c r="T71" i="22"/>
  <c r="P73" i="18"/>
  <c r="B114" i="12"/>
  <c r="G18" i="21"/>
  <c r="F167" i="12"/>
  <c r="T71" i="21"/>
  <c r="M354" i="11"/>
  <c r="N353" i="11"/>
  <c r="A178" i="12"/>
  <c r="A198" i="12"/>
  <c r="A177" i="12"/>
  <c r="A197" i="12"/>
  <c r="A138" i="12"/>
  <c r="A158" i="12"/>
  <c r="A137" i="12"/>
  <c r="A157" i="12"/>
  <c r="A118" i="12"/>
  <c r="A117" i="12"/>
  <c r="F8" i="17"/>
  <c r="F6" i="17"/>
  <c r="D31" i="1"/>
  <c r="D30" i="1"/>
  <c r="D32" i="1"/>
  <c r="A77" i="12"/>
  <c r="A230" i="12"/>
  <c r="A78" i="12"/>
  <c r="A231" i="12"/>
  <c r="C19" i="11"/>
  <c r="E100" i="11" s="1"/>
  <c r="F100" i="11" s="1"/>
  <c r="F103" i="11" s="1"/>
  <c r="F104" i="11" s="1"/>
  <c r="F105" i="11" s="1"/>
  <c r="C23" i="11"/>
  <c r="E114" i="11" s="1"/>
  <c r="F114" i="11" s="1"/>
  <c r="F117" i="11" s="1"/>
  <c r="F118" i="11" s="1"/>
  <c r="F119" i="11" s="1"/>
  <c r="B89" i="12"/>
  <c r="F9" i="15"/>
  <c r="B69" i="12"/>
  <c r="B49" i="12"/>
  <c r="C15" i="11"/>
  <c r="E86" i="11" s="1"/>
  <c r="F86" i="11" s="1"/>
  <c r="E89" i="11" s="1"/>
  <c r="E90" i="11" s="1"/>
  <c r="E91" i="11" s="1"/>
  <c r="A97" i="12"/>
  <c r="A98" i="12"/>
  <c r="A58" i="12"/>
  <c r="A38" i="12"/>
  <c r="A57" i="12"/>
  <c r="D103" i="11"/>
  <c r="D104" i="11" s="1"/>
  <c r="D105" i="11" s="1"/>
  <c r="A37" i="12"/>
  <c r="E75" i="11"/>
  <c r="E76" i="11" s="1"/>
  <c r="E77" i="11" s="1"/>
  <c r="F75" i="11"/>
  <c r="F76" i="11" s="1"/>
  <c r="F77" i="11" s="1"/>
  <c r="D75" i="11"/>
  <c r="D76" i="11" s="1"/>
  <c r="D77" i="11" s="1"/>
  <c r="E33" i="1"/>
  <c r="AC67" i="13"/>
  <c r="L35" i="13" s="1"/>
  <c r="M35" i="13" s="1"/>
  <c r="P35" i="13" s="1"/>
  <c r="B83" i="13" s="1"/>
  <c r="X67" i="16"/>
  <c r="L25" i="16" s="1"/>
  <c r="M25" i="16" s="1"/>
  <c r="P25" i="16" s="1"/>
  <c r="B78" i="16" s="1"/>
  <c r="Y67" i="14"/>
  <c r="L27" i="14" s="1"/>
  <c r="M27" i="14" s="1"/>
  <c r="P27" i="14" s="1"/>
  <c r="B79" i="14" s="1"/>
  <c r="AD67" i="15"/>
  <c r="L37" i="15" s="1"/>
  <c r="M37" i="15" s="1"/>
  <c r="P37" i="15" s="1"/>
  <c r="B84" i="15" s="1"/>
  <c r="AD67" i="14"/>
  <c r="L37" i="14" s="1"/>
  <c r="AD67" i="16"/>
  <c r="L37" i="16" s="1"/>
  <c r="M37" i="16" s="1"/>
  <c r="P37" i="16" s="1"/>
  <c r="B84" i="16" s="1"/>
  <c r="AO67" i="15"/>
  <c r="L59" i="15" s="1"/>
  <c r="M59" i="15" s="1"/>
  <c r="P59" i="15" s="1"/>
  <c r="AM67" i="13"/>
  <c r="L55" i="13" s="1"/>
  <c r="M55" i="13" s="1"/>
  <c r="P55" i="13" s="1"/>
  <c r="B93" i="13" s="1"/>
  <c r="AH67" i="16"/>
  <c r="L45" i="16" s="1"/>
  <c r="M45" i="16" s="1"/>
  <c r="P45" i="16" s="1"/>
  <c r="B88" i="16" s="1"/>
  <c r="AO67" i="16"/>
  <c r="L59" i="16" s="1"/>
  <c r="M59" i="16" s="1"/>
  <c r="P59" i="16" s="1"/>
  <c r="AO67" i="14"/>
  <c r="L59" i="14" s="1"/>
  <c r="M59" i="14" s="1"/>
  <c r="P59" i="14" s="1"/>
  <c r="AK67" i="14"/>
  <c r="L51" i="14" s="1"/>
  <c r="M51" i="14" s="1"/>
  <c r="P51" i="14" s="1"/>
  <c r="B91" i="14" s="1"/>
  <c r="AF67" i="13"/>
  <c r="L41" i="13" s="1"/>
  <c r="M41" i="13" s="1"/>
  <c r="AJ67" i="13"/>
  <c r="L49" i="13" s="1"/>
  <c r="M49" i="13" s="1"/>
  <c r="P49" i="13" s="1"/>
  <c r="B90" i="13" s="1"/>
  <c r="AG67" i="16"/>
  <c r="L43" i="16" s="1"/>
  <c r="M43" i="16" s="1"/>
  <c r="P43" i="16" s="1"/>
  <c r="B87" i="16" s="1"/>
  <c r="AG67" i="15"/>
  <c r="L43" i="15" s="1"/>
  <c r="M43" i="15" s="1"/>
  <c r="P43" i="15" s="1"/>
  <c r="B87" i="15" s="1"/>
  <c r="AG67" i="14"/>
  <c r="L43" i="14" s="1"/>
  <c r="M43" i="14" s="1"/>
  <c r="P43" i="14" s="1"/>
  <c r="B87" i="14" s="1"/>
  <c r="AE67" i="13"/>
  <c r="L39" i="13" s="1"/>
  <c r="M39" i="13" s="1"/>
  <c r="P39" i="13" s="1"/>
  <c r="B85" i="13" s="1"/>
  <c r="AA67" i="14"/>
  <c r="L31" i="14" s="1"/>
  <c r="M31" i="14" s="1"/>
  <c r="P31" i="14" s="1"/>
  <c r="B81" i="14" s="1"/>
  <c r="Z67" i="16"/>
  <c r="L29" i="16" s="1"/>
  <c r="M29" i="16" s="1"/>
  <c r="P29" i="16" s="1"/>
  <c r="B80" i="16" s="1"/>
  <c r="AI67" i="13"/>
  <c r="L47" i="13" s="1"/>
  <c r="M47" i="13" s="1"/>
  <c r="P47" i="13" s="1"/>
  <c r="B89" i="13" s="1"/>
  <c r="AN67" i="13"/>
  <c r="L57" i="13" s="1"/>
  <c r="M57" i="13" s="1"/>
  <c r="P57" i="13" s="1"/>
  <c r="B94" i="13" s="1"/>
  <c r="AB67" i="16"/>
  <c r="L33" i="16" s="1"/>
  <c r="M33" i="16" s="1"/>
  <c r="P33" i="16" s="1"/>
  <c r="B82" i="16" s="1"/>
  <c r="AB67" i="15"/>
  <c r="L33" i="15" s="1"/>
  <c r="M33" i="15" s="1"/>
  <c r="P33" i="15" s="1"/>
  <c r="B82" i="15" s="1"/>
  <c r="AB67" i="14"/>
  <c r="L33" i="14" s="1"/>
  <c r="M33" i="14" s="1"/>
  <c r="P33" i="14" s="1"/>
  <c r="B82" i="14" s="1"/>
  <c r="W67" i="13"/>
  <c r="L23" i="13" s="1"/>
  <c r="M23" i="13" s="1"/>
  <c r="P23" i="13" s="1"/>
  <c r="B77" i="13" s="1"/>
  <c r="AL67" i="16"/>
  <c r="L53" i="16" s="1"/>
  <c r="M53" i="16" s="1"/>
  <c r="P53" i="16" s="1"/>
  <c r="B92" i="16" s="1"/>
  <c r="H66" i="2"/>
  <c r="H66" i="14"/>
  <c r="AF67" i="15"/>
  <c r="L41" i="15" s="1"/>
  <c r="M41" i="15" s="1"/>
  <c r="AJ67" i="15"/>
  <c r="L49" i="15" s="1"/>
  <c r="M49" i="15" s="1"/>
  <c r="P49" i="15" s="1"/>
  <c r="B90" i="15" s="1"/>
  <c r="H66" i="17"/>
  <c r="AE67" i="16"/>
  <c r="L39" i="16" s="1"/>
  <c r="M39" i="16" s="1"/>
  <c r="P39" i="16" s="1"/>
  <c r="B85" i="16" s="1"/>
  <c r="W67" i="16"/>
  <c r="L23" i="16" s="1"/>
  <c r="M23" i="16" s="1"/>
  <c r="P23" i="16" s="1"/>
  <c r="B77" i="16" s="1"/>
  <c r="AE67" i="15"/>
  <c r="L39" i="15" s="1"/>
  <c r="M39" i="15" s="1"/>
  <c r="P39" i="15" s="1"/>
  <c r="B85" i="15" s="1"/>
  <c r="AE67" i="14"/>
  <c r="L39" i="14" s="1"/>
  <c r="M39" i="14" s="1"/>
  <c r="P39" i="14" s="1"/>
  <c r="B85" i="14" s="1"/>
  <c r="W67" i="14"/>
  <c r="L23" i="14" s="1"/>
  <c r="M23" i="14" s="1"/>
  <c r="P23" i="14" s="1"/>
  <c r="B77" i="14" s="1"/>
  <c r="AO67" i="13"/>
  <c r="L59" i="13" s="1"/>
  <c r="R59" i="13" s="1"/>
  <c r="AD67" i="13"/>
  <c r="L37" i="13" s="1"/>
  <c r="M37" i="13" s="1"/>
  <c r="P37" i="13" s="1"/>
  <c r="B84" i="13" s="1"/>
  <c r="AL67" i="14"/>
  <c r="L53" i="14" s="1"/>
  <c r="M53" i="14" s="1"/>
  <c r="P53" i="14" s="1"/>
  <c r="B92" i="14" s="1"/>
  <c r="Z67" i="14"/>
  <c r="L29" i="14" s="1"/>
  <c r="M29" i="14" s="1"/>
  <c r="P29" i="14" s="1"/>
  <c r="B80" i="14" s="1"/>
  <c r="AK67" i="16"/>
  <c r="L51" i="16" s="1"/>
  <c r="M51" i="16" s="1"/>
  <c r="P51" i="16" s="1"/>
  <c r="B91" i="16" s="1"/>
  <c r="Y67" i="16"/>
  <c r="L27" i="16" s="1"/>
  <c r="M27" i="16" s="1"/>
  <c r="P27" i="16" s="1"/>
  <c r="B79" i="16" s="1"/>
  <c r="AI67" i="15"/>
  <c r="L47" i="15" s="1"/>
  <c r="AN67" i="15"/>
  <c r="L57" i="15" s="1"/>
  <c r="M57" i="15" s="1"/>
  <c r="P57" i="15" s="1"/>
  <c r="B94" i="15" s="1"/>
  <c r="H66" i="16"/>
  <c r="AM67" i="16"/>
  <c r="L55" i="16" s="1"/>
  <c r="M55" i="16" s="1"/>
  <c r="P55" i="16" s="1"/>
  <c r="B93" i="16" s="1"/>
  <c r="AC67" i="16"/>
  <c r="L35" i="16" s="1"/>
  <c r="M35" i="16" s="1"/>
  <c r="P35" i="16" s="1"/>
  <c r="B83" i="16" s="1"/>
  <c r="AM67" i="15"/>
  <c r="L55" i="15" s="1"/>
  <c r="M55" i="15" s="1"/>
  <c r="P55" i="15" s="1"/>
  <c r="B93" i="15" s="1"/>
  <c r="AC67" i="15"/>
  <c r="L35" i="15" s="1"/>
  <c r="M35" i="15" s="1"/>
  <c r="P35" i="15" s="1"/>
  <c r="B83" i="15" s="1"/>
  <c r="AM67" i="14"/>
  <c r="L55" i="14" s="1"/>
  <c r="M55" i="14" s="1"/>
  <c r="P55" i="14" s="1"/>
  <c r="B93" i="14" s="1"/>
  <c r="AC67" i="14"/>
  <c r="L35" i="14" s="1"/>
  <c r="M35" i="14" s="1"/>
  <c r="P35" i="14" s="1"/>
  <c r="B83" i="14" s="1"/>
  <c r="AG67" i="13"/>
  <c r="L43" i="13" s="1"/>
  <c r="M43" i="13" s="1"/>
  <c r="P43" i="13" s="1"/>
  <c r="B87" i="13" s="1"/>
  <c r="AB67" i="13"/>
  <c r="L33" i="13" s="1"/>
  <c r="M33" i="13" s="1"/>
  <c r="P33" i="13" s="1"/>
  <c r="B82" i="13" s="1"/>
  <c r="AH67" i="14"/>
  <c r="L45" i="14" s="1"/>
  <c r="M45" i="14" s="1"/>
  <c r="X67" i="14"/>
  <c r="L25" i="14" s="1"/>
  <c r="M25" i="14" s="1"/>
  <c r="P25" i="14" s="1"/>
  <c r="B78" i="14" s="1"/>
  <c r="AA67" i="16"/>
  <c r="L31" i="16" s="1"/>
  <c r="M31" i="16" s="1"/>
  <c r="P31" i="16" s="1"/>
  <c r="B81" i="16" s="1"/>
  <c r="M59" i="13"/>
  <c r="P59" i="13" s="1"/>
  <c r="B95" i="13" s="1"/>
  <c r="H66" i="13"/>
  <c r="AF67" i="16"/>
  <c r="L41" i="16" s="1"/>
  <c r="M41" i="16" s="1"/>
  <c r="AJ67" i="16"/>
  <c r="L49" i="16" s="1"/>
  <c r="M49" i="16" s="1"/>
  <c r="P49" i="16" s="1"/>
  <c r="B90" i="16" s="1"/>
  <c r="M37" i="14"/>
  <c r="P37" i="14" s="1"/>
  <c r="B84" i="14" s="1"/>
  <c r="AL67" i="15"/>
  <c r="L53" i="15" s="1"/>
  <c r="M53" i="15" s="1"/>
  <c r="P53" i="15" s="1"/>
  <c r="B92" i="15" s="1"/>
  <c r="AK67" i="15"/>
  <c r="L51" i="15" s="1"/>
  <c r="M51" i="15" s="1"/>
  <c r="P51" i="15" s="1"/>
  <c r="B91" i="15" s="1"/>
  <c r="AH67" i="15"/>
  <c r="L45" i="15" s="1"/>
  <c r="M45" i="15" s="1"/>
  <c r="P45" i="15" s="1"/>
  <c r="B88" i="15" s="1"/>
  <c r="AA67" i="15"/>
  <c r="L31" i="15" s="1"/>
  <c r="M31" i="15" s="1"/>
  <c r="P31" i="15" s="1"/>
  <c r="B81" i="15" s="1"/>
  <c r="Z67" i="15"/>
  <c r="L29" i="15" s="1"/>
  <c r="M29" i="15" s="1"/>
  <c r="P29" i="15" s="1"/>
  <c r="B80" i="15" s="1"/>
  <c r="Y67" i="15"/>
  <c r="L27" i="15" s="1"/>
  <c r="M27" i="15" s="1"/>
  <c r="P27" i="15" s="1"/>
  <c r="B79" i="15" s="1"/>
  <c r="AI67" i="16"/>
  <c r="L47" i="16" s="1"/>
  <c r="M47" i="16" s="1"/>
  <c r="P47" i="16" s="1"/>
  <c r="B89" i="16" s="1"/>
  <c r="AN67" i="16"/>
  <c r="L57" i="16" s="1"/>
  <c r="M57" i="16" s="1"/>
  <c r="P57" i="16" s="1"/>
  <c r="B94" i="16" s="1"/>
  <c r="AL67" i="13"/>
  <c r="L53" i="13" s="1"/>
  <c r="M53" i="13" s="1"/>
  <c r="P53" i="13" s="1"/>
  <c r="B92" i="13" s="1"/>
  <c r="AK67" i="13"/>
  <c r="L51" i="13" s="1"/>
  <c r="M51" i="13" s="1"/>
  <c r="P51" i="13" s="1"/>
  <c r="B91" i="13" s="1"/>
  <c r="AH67" i="13"/>
  <c r="L45" i="13" s="1"/>
  <c r="M45" i="13" s="1"/>
  <c r="P45" i="13" s="1"/>
  <c r="B88" i="13" s="1"/>
  <c r="AA67" i="13"/>
  <c r="L31" i="13" s="1"/>
  <c r="M31" i="13" s="1"/>
  <c r="P31" i="13" s="1"/>
  <c r="B81" i="13" s="1"/>
  <c r="Z67" i="13"/>
  <c r="L29" i="13" s="1"/>
  <c r="M29" i="13" s="1"/>
  <c r="P29" i="13" s="1"/>
  <c r="B80" i="13" s="1"/>
  <c r="Y67" i="13"/>
  <c r="L27" i="13" s="1"/>
  <c r="M27" i="13" s="1"/>
  <c r="P27" i="13" s="1"/>
  <c r="B79" i="13" s="1"/>
  <c r="X67" i="13"/>
  <c r="L25" i="13" s="1"/>
  <c r="M25" i="13" s="1"/>
  <c r="P25" i="13" s="1"/>
  <c r="B78" i="13" s="1"/>
  <c r="AI67" i="14"/>
  <c r="L47" i="14" s="1"/>
  <c r="M47" i="14" s="1"/>
  <c r="P47" i="14" s="1"/>
  <c r="B89" i="14" s="1"/>
  <c r="AN67" i="14"/>
  <c r="L57" i="14" s="1"/>
  <c r="M57" i="14" s="1"/>
  <c r="P57" i="14" s="1"/>
  <c r="B94" i="14" s="1"/>
  <c r="R59" i="15"/>
  <c r="R59" i="14"/>
  <c r="AF67" i="14"/>
  <c r="L41" i="14" s="1"/>
  <c r="M41" i="14" s="1"/>
  <c r="AJ67" i="14"/>
  <c r="L49" i="14" s="1"/>
  <c r="M49" i="14" s="1"/>
  <c r="P49" i="14" s="1"/>
  <c r="B90" i="14" s="1"/>
  <c r="M47" i="15"/>
  <c r="P47" i="15" s="1"/>
  <c r="B89" i="15" s="1"/>
  <c r="AN67" i="2"/>
  <c r="L57" i="2" s="1"/>
  <c r="M57" i="2" s="1"/>
  <c r="P57" i="2" s="1"/>
  <c r="AJ67" i="2"/>
  <c r="L49" i="2" s="1"/>
  <c r="AD67" i="2"/>
  <c r="L37" i="2" s="1"/>
  <c r="AL67" i="2"/>
  <c r="L53" i="2" s="1"/>
  <c r="M53" i="2" s="1"/>
  <c r="P53" i="2" s="1"/>
  <c r="Z67" i="2"/>
  <c r="L29" i="2" s="1"/>
  <c r="M29" i="2" s="1"/>
  <c r="P29" i="2" s="1"/>
  <c r="AO67" i="2"/>
  <c r="L59" i="2" s="1"/>
  <c r="R59" i="2" s="1"/>
  <c r="AF67" i="2"/>
  <c r="L41" i="2" s="1"/>
  <c r="M41" i="2" s="1"/>
  <c r="AH67" i="2"/>
  <c r="L45" i="2" s="1"/>
  <c r="M45" i="2" s="1"/>
  <c r="P45" i="2" s="1"/>
  <c r="AG67" i="2"/>
  <c r="L43" i="2" s="1"/>
  <c r="M43" i="2" s="1"/>
  <c r="P43" i="2" s="1"/>
  <c r="AC67" i="2"/>
  <c r="L35" i="2" s="1"/>
  <c r="Y67" i="2"/>
  <c r="L27" i="2" s="1"/>
  <c r="M27" i="2" s="1"/>
  <c r="P27" i="2" s="1"/>
  <c r="AK67" i="2"/>
  <c r="L51" i="2" s="1"/>
  <c r="M51" i="2" s="1"/>
  <c r="P51" i="2" s="1"/>
  <c r="AB67" i="2"/>
  <c r="L33" i="2" s="1"/>
  <c r="D61" i="11"/>
  <c r="E61" i="11"/>
  <c r="F61" i="11"/>
  <c r="AH67" i="17"/>
  <c r="L45" i="17" s="1"/>
  <c r="M45" i="17" s="1"/>
  <c r="P45" i="17" s="1"/>
  <c r="B88" i="17" s="1"/>
  <c r="AC67" i="17"/>
  <c r="L35" i="17" s="1"/>
  <c r="M35" i="17" s="1"/>
  <c r="AN67" i="17"/>
  <c r="L57" i="17" s="1"/>
  <c r="M57" i="17" s="1"/>
  <c r="AJ67" i="17"/>
  <c r="L49" i="17" s="1"/>
  <c r="M49" i="17" s="1"/>
  <c r="AG67" i="17"/>
  <c r="L43" i="17" s="1"/>
  <c r="M43" i="17" s="1"/>
  <c r="P43" i="17" s="1"/>
  <c r="AD67" i="17"/>
  <c r="L37" i="17" s="1"/>
  <c r="M37" i="17" s="1"/>
  <c r="AB67" i="17"/>
  <c r="L33" i="17" s="1"/>
  <c r="M33" i="17" s="1"/>
  <c r="P33" i="17" s="1"/>
  <c r="AI67" i="17"/>
  <c r="L47" i="17" s="1"/>
  <c r="M47" i="17" s="1"/>
  <c r="P47" i="17" s="1"/>
  <c r="B89" i="17" s="1"/>
  <c r="AE67" i="17"/>
  <c r="L39" i="17" s="1"/>
  <c r="AF67" i="17"/>
  <c r="L41" i="17" s="1"/>
  <c r="M41" i="17" s="1"/>
  <c r="AA67" i="17"/>
  <c r="L31" i="17" s="1"/>
  <c r="M31" i="17" s="1"/>
  <c r="Z67" i="17"/>
  <c r="L29" i="17" s="1"/>
  <c r="M29" i="17" s="1"/>
  <c r="Y67" i="17"/>
  <c r="L27" i="17" s="1"/>
  <c r="M27" i="17" s="1"/>
  <c r="P27" i="17" s="1"/>
  <c r="X67" i="17"/>
  <c r="L25" i="17" s="1"/>
  <c r="M25" i="17" s="1"/>
  <c r="P25" i="17" s="1"/>
  <c r="B78" i="17" s="1"/>
  <c r="AO67" i="17"/>
  <c r="L59" i="17" s="1"/>
  <c r="M59" i="17" s="1"/>
  <c r="AM67" i="17"/>
  <c r="L55" i="17" s="1"/>
  <c r="M55" i="17" s="1"/>
  <c r="P55" i="17" s="1"/>
  <c r="AL67" i="17"/>
  <c r="L53" i="17" s="1"/>
  <c r="M53" i="17" s="1"/>
  <c r="P53" i="17" s="1"/>
  <c r="AK67" i="17"/>
  <c r="L51" i="17" s="1"/>
  <c r="M51" i="17" s="1"/>
  <c r="P51" i="17" s="1"/>
  <c r="W67" i="17"/>
  <c r="L23" i="17" s="1"/>
  <c r="M23" i="17" s="1"/>
  <c r="P23" i="17" s="1"/>
  <c r="P37" i="17"/>
  <c r="Q45" i="17"/>
  <c r="P35" i="17"/>
  <c r="P31" i="17"/>
  <c r="P29" i="17"/>
  <c r="G12" i="15"/>
  <c r="G12" i="13"/>
  <c r="B157" i="12" l="1"/>
  <c r="U69" i="20"/>
  <c r="T68" i="20"/>
  <c r="P75" i="20"/>
  <c r="T72" i="18"/>
  <c r="B121" i="12"/>
  <c r="U71" i="18"/>
  <c r="T72" i="21"/>
  <c r="B181" i="12"/>
  <c r="U71" i="21"/>
  <c r="B117" i="12"/>
  <c r="P75" i="18"/>
  <c r="U69" i="18"/>
  <c r="T68" i="18"/>
  <c r="B177" i="12"/>
  <c r="U69" i="21"/>
  <c r="T68" i="21"/>
  <c r="P75" i="21"/>
  <c r="T72" i="20"/>
  <c r="B161" i="12"/>
  <c r="U71" i="20"/>
  <c r="T72" i="22"/>
  <c r="B201" i="12"/>
  <c r="U71" i="22"/>
  <c r="B137" i="12"/>
  <c r="U69" i="19"/>
  <c r="T68" i="19"/>
  <c r="P75" i="19"/>
  <c r="T72" i="19"/>
  <c r="B141" i="12"/>
  <c r="U71" i="19"/>
  <c r="B197" i="12"/>
  <c r="U69" i="22"/>
  <c r="T68" i="22"/>
  <c r="P75" i="22"/>
  <c r="L353" i="11"/>
  <c r="J353" i="11"/>
  <c r="K353" i="11"/>
  <c r="M355" i="11"/>
  <c r="N354" i="11"/>
  <c r="Q53" i="17"/>
  <c r="B92" i="17"/>
  <c r="Q27" i="17"/>
  <c r="B79" i="17"/>
  <c r="Q43" i="17"/>
  <c r="B87" i="17"/>
  <c r="Q55" i="17"/>
  <c r="B93" i="17"/>
  <c r="Q29" i="17"/>
  <c r="B80" i="17"/>
  <c r="Q31" i="17"/>
  <c r="B81" i="17"/>
  <c r="Q23" i="17"/>
  <c r="B77" i="17"/>
  <c r="R33" i="17"/>
  <c r="B82" i="17" s="1"/>
  <c r="Q37" i="17"/>
  <c r="B84" i="17"/>
  <c r="Q35" i="17"/>
  <c r="B83" i="17"/>
  <c r="Q51" i="17"/>
  <c r="B91" i="17"/>
  <c r="D117" i="11"/>
  <c r="D118" i="11" s="1"/>
  <c r="D119" i="11" s="1"/>
  <c r="E103" i="11"/>
  <c r="E104" i="11" s="1"/>
  <c r="E105" i="11" s="1"/>
  <c r="B95" i="15"/>
  <c r="B95" i="14"/>
  <c r="P41" i="16"/>
  <c r="B86" i="16" s="1"/>
  <c r="P41" i="15"/>
  <c r="B86" i="15" s="1"/>
  <c r="P45" i="14"/>
  <c r="P41" i="14"/>
  <c r="P41" i="13"/>
  <c r="B86" i="13" s="1"/>
  <c r="P41" i="2"/>
  <c r="B86" i="2" s="1"/>
  <c r="P57" i="17"/>
  <c r="Q47" i="17"/>
  <c r="P49" i="17"/>
  <c r="P41" i="17"/>
  <c r="Q25" i="17"/>
  <c r="X41" i="15"/>
  <c r="W41" i="15"/>
  <c r="G17" i="13"/>
  <c r="T71" i="13" s="1"/>
  <c r="G17" i="15"/>
  <c r="F67" i="12" s="1"/>
  <c r="Q57" i="14"/>
  <c r="Q47" i="14"/>
  <c r="Q55" i="14"/>
  <c r="Q43" i="14"/>
  <c r="Q49" i="14"/>
  <c r="Q29" i="14"/>
  <c r="Q31" i="14"/>
  <c r="Q51" i="14"/>
  <c r="Q53" i="14"/>
  <c r="Q39" i="14"/>
  <c r="Q27" i="14"/>
  <c r="Q57" i="2"/>
  <c r="AA41" i="2"/>
  <c r="AA67" i="2" s="1"/>
  <c r="L31" i="2" s="1"/>
  <c r="M31" i="2" s="1"/>
  <c r="P31" i="2" s="1"/>
  <c r="B81" i="2" s="1"/>
  <c r="AE41" i="2"/>
  <c r="F9" i="2"/>
  <c r="G12" i="2" s="1"/>
  <c r="Q55" i="16"/>
  <c r="Q27" i="16"/>
  <c r="Q59" i="16"/>
  <c r="Q37" i="16"/>
  <c r="Q33" i="16"/>
  <c r="Q51" i="16"/>
  <c r="Q29" i="16"/>
  <c r="Q45" i="16"/>
  <c r="Q31" i="16"/>
  <c r="Q53" i="16"/>
  <c r="Q43" i="16"/>
  <c r="Q39" i="16"/>
  <c r="Q35" i="16"/>
  <c r="Q35" i="15"/>
  <c r="Q39" i="15"/>
  <c r="Q33" i="15"/>
  <c r="Q43" i="15"/>
  <c r="Q55" i="15"/>
  <c r="Q37" i="15"/>
  <c r="Q37" i="13"/>
  <c r="Q33" i="13"/>
  <c r="Q43" i="13"/>
  <c r="Q55" i="13"/>
  <c r="Q39" i="13"/>
  <c r="Q43" i="2"/>
  <c r="B87" i="2"/>
  <c r="Q29" i="2"/>
  <c r="B80" i="2"/>
  <c r="Q45" i="2"/>
  <c r="B88" i="2"/>
  <c r="Q53" i="2"/>
  <c r="B92" i="2"/>
  <c r="Q27" i="2"/>
  <c r="B79" i="2"/>
  <c r="Q51" i="2"/>
  <c r="B91" i="2"/>
  <c r="F9" i="16"/>
  <c r="G12" i="16" s="1"/>
  <c r="F89" i="11"/>
  <c r="F90" i="11" s="1"/>
  <c r="F91" i="11" s="1"/>
  <c r="E117" i="11"/>
  <c r="E118" i="11" s="1"/>
  <c r="E119" i="11" s="1"/>
  <c r="D89" i="11"/>
  <c r="D90" i="11" s="1"/>
  <c r="D91" i="11" s="1"/>
  <c r="F9" i="14"/>
  <c r="G12" i="14" s="1"/>
  <c r="AI51" i="2"/>
  <c r="AM51" i="2"/>
  <c r="AM67" i="2" s="1"/>
  <c r="L55" i="2" s="1"/>
  <c r="M55" i="2" s="1"/>
  <c r="P55" i="2" s="1"/>
  <c r="M59" i="2"/>
  <c r="P59" i="2" s="1"/>
  <c r="P66" i="16"/>
  <c r="T66" i="15"/>
  <c r="B78" i="12" s="1"/>
  <c r="Q23" i="14"/>
  <c r="T66" i="14"/>
  <c r="B58" i="12" s="1"/>
  <c r="Q23" i="13"/>
  <c r="Q35" i="13"/>
  <c r="T66" i="13"/>
  <c r="B38" i="12" s="1"/>
  <c r="M49" i="2"/>
  <c r="P49" i="2" s="1"/>
  <c r="R49" i="2"/>
  <c r="M39" i="17"/>
  <c r="P39" i="17" s="1"/>
  <c r="M35" i="2"/>
  <c r="P35" i="2" s="1"/>
  <c r="R35" i="2"/>
  <c r="R55" i="2"/>
  <c r="M37" i="2"/>
  <c r="P37" i="2" s="1"/>
  <c r="R57" i="2"/>
  <c r="B94" i="2" s="1"/>
  <c r="D33" i="1"/>
  <c r="E37" i="1"/>
  <c r="Q25" i="16"/>
  <c r="R59" i="17"/>
  <c r="Q25" i="14"/>
  <c r="C16" i="11"/>
  <c r="C17" i="11" s="1"/>
  <c r="C24" i="11"/>
  <c r="C25" i="11" s="1"/>
  <c r="R59" i="16"/>
  <c r="B95" i="16" s="1"/>
  <c r="Q23" i="16"/>
  <c r="Q33" i="14"/>
  <c r="Q35" i="14"/>
  <c r="Q37" i="14"/>
  <c r="M33" i="2"/>
  <c r="P33" i="2" s="1"/>
  <c r="F9" i="17"/>
  <c r="Q33" i="17"/>
  <c r="P59" i="17"/>
  <c r="B95" i="17" s="1"/>
  <c r="F66" i="12"/>
  <c r="G13" i="15"/>
  <c r="F26" i="12"/>
  <c r="G13" i="13"/>
  <c r="T69" i="21" l="1"/>
  <c r="B180" i="12" s="1"/>
  <c r="B179" i="12"/>
  <c r="T72" i="13"/>
  <c r="U72" i="13" s="1"/>
  <c r="U71" i="13"/>
  <c r="U72" i="22"/>
  <c r="B202" i="12"/>
  <c r="T69" i="18"/>
  <c r="B120" i="12" s="1"/>
  <c r="B119" i="12"/>
  <c r="U72" i="19"/>
  <c r="B142" i="12"/>
  <c r="U72" i="18"/>
  <c r="B122" i="12"/>
  <c r="G18" i="15"/>
  <c r="T71" i="15"/>
  <c r="U72" i="21"/>
  <c r="B182" i="12"/>
  <c r="E38" i="1"/>
  <c r="E39" i="1"/>
  <c r="E40" i="1" s="1"/>
  <c r="T69" i="19"/>
  <c r="B140" i="12" s="1"/>
  <c r="B139" i="12"/>
  <c r="U72" i="20"/>
  <c r="B162" i="12"/>
  <c r="T69" i="20"/>
  <c r="B160" i="12" s="1"/>
  <c r="B159" i="12"/>
  <c r="T69" i="22"/>
  <c r="B200" i="12" s="1"/>
  <c r="B199" i="12"/>
  <c r="M356" i="11"/>
  <c r="N355" i="11"/>
  <c r="L354" i="11"/>
  <c r="J354" i="11"/>
  <c r="K354" i="11"/>
  <c r="Q41" i="17"/>
  <c r="B86" i="17"/>
  <c r="Q39" i="17"/>
  <c r="Q49" i="17"/>
  <c r="B90" i="17"/>
  <c r="Q57" i="17"/>
  <c r="B94" i="17"/>
  <c r="Q45" i="14"/>
  <c r="B88" i="14"/>
  <c r="Q41" i="14"/>
  <c r="B86" i="14"/>
  <c r="F27" i="12"/>
  <c r="G18" i="13"/>
  <c r="R37" i="2"/>
  <c r="Q41" i="16"/>
  <c r="Q41" i="15"/>
  <c r="Q41" i="13"/>
  <c r="Q41" i="2"/>
  <c r="P66" i="17"/>
  <c r="W37" i="15"/>
  <c r="X37" i="15"/>
  <c r="X43" i="15"/>
  <c r="W43" i="15"/>
  <c r="X39" i="15"/>
  <c r="W39" i="15"/>
  <c r="X35" i="15"/>
  <c r="W35" i="15"/>
  <c r="X55" i="15"/>
  <c r="W55" i="15"/>
  <c r="X33" i="15"/>
  <c r="W33" i="15"/>
  <c r="G17" i="14"/>
  <c r="G13" i="16"/>
  <c r="P68" i="16"/>
  <c r="P71" i="16"/>
  <c r="P73" i="16" s="1"/>
  <c r="P69" i="16"/>
  <c r="Q69" i="16" s="1"/>
  <c r="B41" i="12"/>
  <c r="Q49" i="16"/>
  <c r="Q57" i="16"/>
  <c r="Q47" i="16"/>
  <c r="Q57" i="15"/>
  <c r="Q49" i="15"/>
  <c r="Q47" i="15"/>
  <c r="Q47" i="13"/>
  <c r="Q57" i="13"/>
  <c r="Q49" i="13"/>
  <c r="Q31" i="2"/>
  <c r="G17" i="16"/>
  <c r="F86" i="12"/>
  <c r="Q53" i="15"/>
  <c r="Q45" i="15"/>
  <c r="Q51" i="15"/>
  <c r="Q29" i="15"/>
  <c r="Q31" i="15"/>
  <c r="Q27" i="15"/>
  <c r="Q53" i="13"/>
  <c r="Q51" i="13"/>
  <c r="Q45" i="13"/>
  <c r="Q29" i="13"/>
  <c r="Q59" i="13"/>
  <c r="Q31" i="13"/>
  <c r="Q27" i="13"/>
  <c r="Q25" i="13"/>
  <c r="Q35" i="2"/>
  <c r="B83" i="2"/>
  <c r="Q33" i="2"/>
  <c r="Q37" i="2"/>
  <c r="Q55" i="2"/>
  <c r="B93" i="2"/>
  <c r="Q59" i="2"/>
  <c r="B95" i="2"/>
  <c r="F46" i="12"/>
  <c r="G13" i="14"/>
  <c r="F6" i="12"/>
  <c r="G17" i="2"/>
  <c r="R39" i="17"/>
  <c r="T66" i="17" s="1"/>
  <c r="B231" i="12" s="1"/>
  <c r="T66" i="16"/>
  <c r="B98" i="12" s="1"/>
  <c r="P66" i="14"/>
  <c r="P68" i="14" s="1"/>
  <c r="P66" i="13"/>
  <c r="R47" i="2"/>
  <c r="G13" i="2"/>
  <c r="R33" i="2"/>
  <c r="B82" i="2" s="1"/>
  <c r="D37" i="1"/>
  <c r="D39" i="1" s="1"/>
  <c r="B211" i="12" s="1"/>
  <c r="B212" i="12" s="1"/>
  <c r="G12" i="17"/>
  <c r="B91" i="12"/>
  <c r="C12" i="11"/>
  <c r="C13" i="11" s="1"/>
  <c r="Q59" i="15"/>
  <c r="Q59" i="14"/>
  <c r="Q59" i="17"/>
  <c r="F47" i="12" l="1"/>
  <c r="T71" i="14"/>
  <c r="G17" i="17"/>
  <c r="F220" i="12" s="1"/>
  <c r="F219" i="12"/>
  <c r="F87" i="12"/>
  <c r="T71" i="16"/>
  <c r="T72" i="15"/>
  <c r="U72" i="15" s="1"/>
  <c r="U71" i="15"/>
  <c r="L355" i="11"/>
  <c r="J355" i="11"/>
  <c r="K355" i="11"/>
  <c r="M357" i="11"/>
  <c r="N356" i="11"/>
  <c r="B85" i="17"/>
  <c r="U69" i="16"/>
  <c r="P75" i="16"/>
  <c r="B84" i="2"/>
  <c r="P69" i="14"/>
  <c r="Q69" i="14" s="1"/>
  <c r="P71" i="14"/>
  <c r="P73" i="14" s="1"/>
  <c r="T68" i="14" s="1"/>
  <c r="T69" i="14" s="1"/>
  <c r="P69" i="13"/>
  <c r="Q69" i="13" s="1"/>
  <c r="P68" i="13"/>
  <c r="P71" i="13"/>
  <c r="P73" i="13" s="1"/>
  <c r="W29" i="15"/>
  <c r="X29" i="15"/>
  <c r="W45" i="15"/>
  <c r="X45" i="15"/>
  <c r="X47" i="15"/>
  <c r="W47" i="15"/>
  <c r="X31" i="15"/>
  <c r="W31" i="15"/>
  <c r="X51" i="15"/>
  <c r="W51" i="15"/>
  <c r="W53" i="15"/>
  <c r="X53" i="15"/>
  <c r="X49" i="15"/>
  <c r="W49" i="15"/>
  <c r="X59" i="15"/>
  <c r="W59" i="15"/>
  <c r="X27" i="15"/>
  <c r="W27" i="15"/>
  <c r="X57" i="15"/>
  <c r="W57" i="15"/>
  <c r="P71" i="17"/>
  <c r="B42" i="12"/>
  <c r="G18" i="16"/>
  <c r="T68" i="16"/>
  <c r="T69" i="16" s="1"/>
  <c r="G18" i="14"/>
  <c r="B92" i="12"/>
  <c r="B93" i="12" s="1"/>
  <c r="Q49" i="2"/>
  <c r="AI49" i="2" s="1"/>
  <c r="AI67" i="2" s="1"/>
  <c r="L47" i="2" s="1"/>
  <c r="M47" i="2" s="1"/>
  <c r="B90" i="2"/>
  <c r="G18" i="2"/>
  <c r="F7" i="12"/>
  <c r="D38" i="1"/>
  <c r="D40" i="1"/>
  <c r="P68" i="17"/>
  <c r="P69" i="17"/>
  <c r="Q69" i="17" s="1"/>
  <c r="G13" i="17"/>
  <c r="B225" i="12"/>
  <c r="B226" i="12" s="1"/>
  <c r="B51" i="12"/>
  <c r="B52" i="12" s="1"/>
  <c r="B53" i="12" s="1"/>
  <c r="B94" i="12"/>
  <c r="B31" i="12"/>
  <c r="B32" i="12" s="1"/>
  <c r="B33" i="12" s="1"/>
  <c r="G18" i="17" l="1"/>
  <c r="T71" i="17" s="1"/>
  <c r="T72" i="17" s="1"/>
  <c r="T72" i="16"/>
  <c r="U72" i="16" s="1"/>
  <c r="U71" i="16"/>
  <c r="T72" i="14"/>
  <c r="U72" i="14" s="1"/>
  <c r="U71" i="14"/>
  <c r="M358" i="11"/>
  <c r="N357" i="11"/>
  <c r="L356" i="11"/>
  <c r="J356" i="11"/>
  <c r="K356" i="11"/>
  <c r="U69" i="13"/>
  <c r="P75" i="13"/>
  <c r="U69" i="14"/>
  <c r="P75" i="14"/>
  <c r="T68" i="13"/>
  <c r="T69" i="13" s="1"/>
  <c r="P73" i="17"/>
  <c r="T68" i="17" s="1"/>
  <c r="B227" i="12"/>
  <c r="B100" i="12"/>
  <c r="B99" i="12"/>
  <c r="B101" i="12"/>
  <c r="B61" i="12"/>
  <c r="B60" i="12"/>
  <c r="B59" i="12"/>
  <c r="P47" i="2"/>
  <c r="B97" i="12"/>
  <c r="B54" i="12"/>
  <c r="B34" i="12"/>
  <c r="B234" i="12" l="1"/>
  <c r="U71" i="17"/>
  <c r="L357" i="11"/>
  <c r="J357" i="11"/>
  <c r="K357" i="11"/>
  <c r="M359" i="11"/>
  <c r="N358" i="11"/>
  <c r="B39" i="12"/>
  <c r="B40" i="12"/>
  <c r="B235" i="12"/>
  <c r="U72" i="17"/>
  <c r="B230" i="12"/>
  <c r="B102" i="12"/>
  <c r="B62" i="12"/>
  <c r="B89" i="2"/>
  <c r="Q47" i="2"/>
  <c r="B37" i="12"/>
  <c r="B57" i="12"/>
  <c r="L358" i="11" l="1"/>
  <c r="J358" i="11"/>
  <c r="K358" i="11"/>
  <c r="M360" i="11"/>
  <c r="N359" i="11"/>
  <c r="X25" i="15"/>
  <c r="W25" i="15"/>
  <c r="X67" i="15"/>
  <c r="L25" i="15" s="1"/>
  <c r="M25" i="15" s="1"/>
  <c r="P25" i="15" s="1"/>
  <c r="B78" i="15" s="1"/>
  <c r="X23" i="15"/>
  <c r="W23" i="15"/>
  <c r="W67" i="15" s="1"/>
  <c r="L23" i="15" s="1"/>
  <c r="M23" i="15" s="1"/>
  <c r="P23" i="15" s="1"/>
  <c r="B77" i="15" s="1"/>
  <c r="L359" i="11" l="1"/>
  <c r="J359" i="11"/>
  <c r="K359" i="11"/>
  <c r="M361" i="11"/>
  <c r="N360" i="11"/>
  <c r="Q25" i="15"/>
  <c r="Q23" i="15"/>
  <c r="L360" i="11" l="1"/>
  <c r="J360" i="11"/>
  <c r="K360" i="11"/>
  <c r="M362" i="11"/>
  <c r="N361" i="11"/>
  <c r="P66" i="15"/>
  <c r="C20" i="11"/>
  <c r="C21" i="11" s="1"/>
  <c r="M363" i="11" l="1"/>
  <c r="N362" i="11"/>
  <c r="L361" i="11"/>
  <c r="J361" i="11"/>
  <c r="K361" i="11"/>
  <c r="P71" i="15"/>
  <c r="P69" i="15"/>
  <c r="Q69" i="15" s="1"/>
  <c r="B71" i="12"/>
  <c r="P68" i="15"/>
  <c r="L362" i="11" l="1"/>
  <c r="J362" i="11"/>
  <c r="K362" i="11"/>
  <c r="M364" i="11"/>
  <c r="N363" i="11"/>
  <c r="B72" i="12"/>
  <c r="B73" i="12" s="1"/>
  <c r="P73" i="15"/>
  <c r="B74" i="12"/>
  <c r="B81" i="12"/>
  <c r="M365" i="11" l="1"/>
  <c r="N364" i="11"/>
  <c r="L363" i="11"/>
  <c r="J363" i="11"/>
  <c r="K363" i="11"/>
  <c r="U69" i="15"/>
  <c r="P75" i="15"/>
  <c r="B77" i="12"/>
  <c r="T68" i="15"/>
  <c r="T69" i="15" s="1"/>
  <c r="B82" i="12"/>
  <c r="L364" i="11" l="1"/>
  <c r="J364" i="11"/>
  <c r="K364" i="11"/>
  <c r="M366" i="11"/>
  <c r="N365" i="11"/>
  <c r="B79" i="12"/>
  <c r="B80" i="12"/>
  <c r="L365" i="11" l="1"/>
  <c r="J365" i="11"/>
  <c r="K365" i="11"/>
  <c r="M367" i="11"/>
  <c r="N366" i="11"/>
  <c r="W39" i="2"/>
  <c r="W67" i="2" s="1"/>
  <c r="L23" i="2" s="1"/>
  <c r="M23" i="2" s="1"/>
  <c r="AE25" i="2"/>
  <c r="AE67" i="2" s="1"/>
  <c r="L39" i="2" s="1"/>
  <c r="X39" i="2"/>
  <c r="X67" i="2" s="1"/>
  <c r="L25" i="2" s="1"/>
  <c r="M25" i="2" s="1"/>
  <c r="T71" i="2"/>
  <c r="L366" i="11" l="1"/>
  <c r="J366" i="11"/>
  <c r="K366" i="11"/>
  <c r="M368" i="11"/>
  <c r="N367" i="11"/>
  <c r="T72" i="2"/>
  <c r="U72" i="2" s="1"/>
  <c r="U71" i="2"/>
  <c r="B21" i="12"/>
  <c r="P25" i="2"/>
  <c r="P23" i="2"/>
  <c r="Q23" i="2" s="1"/>
  <c r="M39" i="2"/>
  <c r="B22" i="12" l="1"/>
  <c r="L367" i="11"/>
  <c r="J367" i="11"/>
  <c r="K367" i="11"/>
  <c r="M369" i="11"/>
  <c r="N368" i="11"/>
  <c r="B78" i="2"/>
  <c r="P39" i="2"/>
  <c r="B77" i="2"/>
  <c r="Q25" i="2"/>
  <c r="L368" i="11" l="1"/>
  <c r="J368" i="11"/>
  <c r="K368" i="11"/>
  <c r="M370" i="11"/>
  <c r="N369" i="11"/>
  <c r="R39" i="2"/>
  <c r="T66" i="2" s="1"/>
  <c r="B18" i="12" s="1"/>
  <c r="P66" i="2"/>
  <c r="Q39" i="2"/>
  <c r="E62" i="11"/>
  <c r="E63" i="11" s="1"/>
  <c r="F62" i="11"/>
  <c r="F63" i="11" s="1"/>
  <c r="D62" i="11"/>
  <c r="D63" i="11" s="1"/>
  <c r="C9" i="11"/>
  <c r="M371" i="11" l="1"/>
  <c r="N370" i="11"/>
  <c r="L369" i="11"/>
  <c r="J369" i="11"/>
  <c r="K369" i="11"/>
  <c r="P71" i="2"/>
  <c r="P68" i="2"/>
  <c r="P69" i="2"/>
  <c r="Q69" i="2" s="1"/>
  <c r="B11" i="12"/>
  <c r="B85" i="2"/>
  <c r="L370" i="11" l="1"/>
  <c r="J370" i="11"/>
  <c r="K370" i="11"/>
  <c r="M372" i="11"/>
  <c r="N371" i="11"/>
  <c r="B207" i="12"/>
  <c r="B214" i="12"/>
  <c r="B208" i="12"/>
  <c r="B209" i="12" s="1"/>
  <c r="B215" i="12" s="1"/>
  <c r="B15" i="12"/>
  <c r="B12" i="12"/>
  <c r="B13" i="12" s="1"/>
  <c r="P73" i="2"/>
  <c r="B14" i="12"/>
  <c r="P75" i="2" l="1"/>
  <c r="T68" i="2"/>
  <c r="L371" i="11"/>
  <c r="J371" i="11"/>
  <c r="K371" i="11"/>
  <c r="M373" i="11"/>
  <c r="N372" i="11"/>
  <c r="B17" i="12"/>
  <c r="L372" i="11" l="1"/>
  <c r="J372" i="11"/>
  <c r="K372" i="11"/>
  <c r="M374" i="11"/>
  <c r="N373" i="11"/>
  <c r="U69" i="2"/>
  <c r="T69" i="2"/>
  <c r="B20" i="12" s="1"/>
  <c r="B19" i="12"/>
  <c r="L373" i="11" l="1"/>
  <c r="J373" i="11"/>
  <c r="K373" i="11"/>
  <c r="M375" i="11"/>
  <c r="N374" i="11"/>
  <c r="B232" i="12"/>
  <c r="P75" i="17"/>
  <c r="U69" i="17" s="1"/>
  <c r="T69" i="17"/>
  <c r="B233" i="12" s="1"/>
  <c r="L374" i="11" l="1"/>
  <c r="J374" i="11"/>
  <c r="K374" i="11"/>
  <c r="M376" i="11"/>
  <c r="N375" i="11"/>
  <c r="M377" i="11" l="1"/>
  <c r="N376" i="11"/>
  <c r="L375" i="11"/>
  <c r="J375" i="11"/>
  <c r="K375" i="11"/>
  <c r="L376" i="11" l="1"/>
  <c r="J376" i="11"/>
  <c r="K376" i="11"/>
  <c r="M378" i="11"/>
  <c r="N377" i="11"/>
  <c r="L377" i="11" l="1"/>
  <c r="J377" i="11"/>
  <c r="K377" i="11"/>
  <c r="M379" i="11"/>
  <c r="N378" i="11"/>
  <c r="L378" i="11" l="1"/>
  <c r="J378" i="11"/>
  <c r="K378" i="11"/>
  <c r="M380" i="11"/>
  <c r="N379" i="11"/>
  <c r="M381" i="11" l="1"/>
  <c r="N380" i="11"/>
  <c r="L379" i="11"/>
  <c r="J379" i="11"/>
  <c r="K379" i="11"/>
  <c r="L380" i="11" l="1"/>
  <c r="J380" i="11"/>
  <c r="K380" i="11"/>
  <c r="M382" i="11"/>
  <c r="N381" i="11"/>
  <c r="L381" i="11" l="1"/>
  <c r="J381" i="11"/>
  <c r="K381" i="11"/>
  <c r="M383" i="11"/>
  <c r="N382" i="11"/>
  <c r="L382" i="11" l="1"/>
  <c r="J382" i="11"/>
  <c r="K382" i="11"/>
  <c r="M384" i="11"/>
  <c r="N383" i="11"/>
  <c r="L383" i="11" l="1"/>
  <c r="J383" i="11"/>
  <c r="K383" i="11"/>
  <c r="M385" i="11"/>
  <c r="N384" i="11"/>
  <c r="L384" i="11" l="1"/>
  <c r="J384" i="11"/>
  <c r="K384" i="11"/>
  <c r="M386" i="11"/>
  <c r="N385" i="11"/>
  <c r="L385" i="11" l="1"/>
  <c r="J385" i="11"/>
  <c r="K385" i="11"/>
  <c r="M387" i="11"/>
  <c r="N386" i="11"/>
  <c r="L386" i="11" l="1"/>
  <c r="J386" i="11"/>
  <c r="K386" i="11"/>
  <c r="M388" i="11"/>
  <c r="N387" i="11"/>
  <c r="L387" i="11" l="1"/>
  <c r="J387" i="11"/>
  <c r="K387" i="11"/>
  <c r="M389" i="11"/>
  <c r="N388" i="11"/>
  <c r="L388" i="11" l="1"/>
  <c r="J388" i="11"/>
  <c r="K388" i="11"/>
  <c r="M390" i="11"/>
  <c r="N389" i="11"/>
  <c r="L389" i="11" l="1"/>
  <c r="J389" i="11"/>
  <c r="K389" i="11"/>
  <c r="M391" i="11"/>
  <c r="N390" i="11"/>
  <c r="L390" i="11" l="1"/>
  <c r="J390" i="11"/>
  <c r="K390" i="11"/>
  <c r="M392" i="11"/>
  <c r="N391" i="11"/>
  <c r="L391" i="11" l="1"/>
  <c r="J391" i="11"/>
  <c r="K391" i="11"/>
  <c r="M393" i="11"/>
  <c r="N392" i="11"/>
  <c r="L392" i="11" l="1"/>
  <c r="J392" i="11"/>
  <c r="K392" i="11"/>
  <c r="M394" i="11"/>
  <c r="N393" i="11"/>
  <c r="L393" i="11" l="1"/>
  <c r="J393" i="11"/>
  <c r="K393" i="11"/>
  <c r="M395" i="11"/>
  <c r="N394" i="11"/>
  <c r="L394" i="11" l="1"/>
  <c r="J394" i="11"/>
  <c r="K394" i="11"/>
  <c r="M396" i="11"/>
  <c r="N395" i="11"/>
  <c r="L395" i="11" l="1"/>
  <c r="J395" i="11"/>
  <c r="K395" i="11"/>
  <c r="M397" i="11"/>
  <c r="N396" i="11"/>
  <c r="L396" i="11" l="1"/>
  <c r="J396" i="11"/>
  <c r="K396" i="11"/>
  <c r="M398" i="11"/>
  <c r="N397" i="11"/>
  <c r="M399" i="11" l="1"/>
  <c r="N398" i="11"/>
  <c r="L397" i="11"/>
  <c r="J397" i="11"/>
  <c r="K397" i="11"/>
  <c r="L398" i="11" l="1"/>
  <c r="J398" i="11"/>
  <c r="K398" i="11"/>
  <c r="M400" i="11"/>
  <c r="N399" i="11"/>
  <c r="L399" i="11" l="1"/>
  <c r="J399" i="11"/>
  <c r="K399" i="11"/>
  <c r="M401" i="11"/>
  <c r="N400" i="11"/>
  <c r="L400" i="11" l="1"/>
  <c r="J400" i="11"/>
  <c r="K400" i="11"/>
  <c r="M402" i="11"/>
  <c r="N401" i="11"/>
  <c r="L401" i="11" l="1"/>
  <c r="J401" i="11"/>
  <c r="K401" i="11"/>
  <c r="M403" i="11"/>
  <c r="N402" i="11"/>
  <c r="L402" i="11" l="1"/>
  <c r="J402" i="11"/>
  <c r="K402" i="11"/>
  <c r="M404" i="11"/>
  <c r="N403" i="11"/>
  <c r="L403" i="11" l="1"/>
  <c r="J403" i="11"/>
  <c r="K403" i="11"/>
  <c r="M405" i="11"/>
  <c r="N404" i="11"/>
  <c r="L404" i="11" l="1"/>
  <c r="J404" i="11"/>
  <c r="K404" i="11"/>
  <c r="M406" i="11"/>
  <c r="N405" i="11"/>
  <c r="L405" i="11" l="1"/>
  <c r="J405" i="11"/>
  <c r="K405" i="11"/>
  <c r="M407" i="11"/>
  <c r="N406" i="11"/>
  <c r="L406" i="11" l="1"/>
  <c r="J406" i="11"/>
  <c r="K406" i="11"/>
  <c r="M408" i="11"/>
  <c r="N407" i="11"/>
  <c r="L407" i="11" l="1"/>
  <c r="J407" i="11"/>
  <c r="K407" i="11"/>
  <c r="M409" i="11"/>
  <c r="N408" i="11"/>
  <c r="L408" i="11" l="1"/>
  <c r="J408" i="11"/>
  <c r="K408" i="11"/>
  <c r="M410" i="11"/>
  <c r="N409" i="11"/>
  <c r="M411" i="11" l="1"/>
  <c r="N410" i="11"/>
  <c r="L409" i="11"/>
  <c r="J409" i="11"/>
  <c r="K409" i="11"/>
  <c r="L410" i="11" l="1"/>
  <c r="J410" i="11"/>
  <c r="K410" i="11"/>
  <c r="M412" i="11"/>
  <c r="N411" i="11"/>
  <c r="L411" i="11" l="1"/>
  <c r="J411" i="11"/>
  <c r="K411" i="11"/>
  <c r="M413" i="11"/>
  <c r="N412" i="11"/>
  <c r="L412" i="11" l="1"/>
  <c r="J412" i="11"/>
  <c r="K412" i="11"/>
  <c r="M414" i="11"/>
  <c r="N413" i="11"/>
  <c r="L413" i="11" l="1"/>
  <c r="J413" i="11"/>
  <c r="K413" i="11"/>
  <c r="M415" i="11"/>
  <c r="N414" i="11"/>
  <c r="L414" i="11" l="1"/>
  <c r="J414" i="11"/>
  <c r="K414" i="11"/>
  <c r="M416" i="11"/>
  <c r="N415" i="11"/>
  <c r="L415" i="11" l="1"/>
  <c r="J415" i="11"/>
  <c r="K415" i="11"/>
  <c r="M417" i="11"/>
  <c r="N416" i="11"/>
  <c r="L416" i="11" l="1"/>
  <c r="J416" i="11"/>
  <c r="K416" i="11"/>
  <c r="M418" i="11"/>
  <c r="N417" i="11"/>
  <c r="L417" i="11" l="1"/>
  <c r="J417" i="11"/>
  <c r="K417" i="11"/>
  <c r="M419" i="11"/>
  <c r="N418" i="11"/>
  <c r="L418" i="11" l="1"/>
  <c r="J418" i="11"/>
  <c r="K418" i="11"/>
  <c r="M420" i="11"/>
  <c r="N419" i="11"/>
  <c r="L419" i="11" l="1"/>
  <c r="J419" i="11"/>
  <c r="K419" i="11"/>
  <c r="M421" i="11"/>
  <c r="N420" i="11"/>
  <c r="L420" i="11" l="1"/>
  <c r="J420" i="11"/>
  <c r="K420" i="11"/>
  <c r="M422" i="11"/>
  <c r="N421" i="11"/>
  <c r="L421" i="11" l="1"/>
  <c r="J421" i="11"/>
  <c r="K421" i="11"/>
  <c r="M423" i="11"/>
  <c r="N422" i="11"/>
  <c r="L422" i="11" l="1"/>
  <c r="J422" i="11"/>
  <c r="K422" i="11"/>
  <c r="M424" i="11"/>
  <c r="N423" i="11"/>
  <c r="L423" i="11" l="1"/>
  <c r="J423" i="11"/>
  <c r="K423" i="11"/>
  <c r="M425" i="11"/>
  <c r="N424" i="11"/>
  <c r="L424" i="11" l="1"/>
  <c r="J424" i="11"/>
  <c r="K424" i="11"/>
  <c r="M426" i="11"/>
  <c r="N425" i="11"/>
  <c r="L425" i="11" l="1"/>
  <c r="J425" i="11"/>
  <c r="K425" i="11"/>
  <c r="N426" i="11"/>
  <c r="M427" i="11"/>
  <c r="M428" i="11" l="1"/>
  <c r="N427" i="11"/>
  <c r="L426" i="11"/>
  <c r="K426" i="11"/>
  <c r="J426" i="11"/>
  <c r="L427" i="11" l="1"/>
  <c r="K427" i="11"/>
  <c r="J427" i="11"/>
  <c r="M429" i="11"/>
  <c r="N428" i="11"/>
  <c r="M430" i="11" l="1"/>
  <c r="N429" i="11"/>
  <c r="L428" i="11"/>
  <c r="K428" i="11"/>
  <c r="J428" i="11"/>
  <c r="L429" i="11" l="1"/>
  <c r="K429" i="11"/>
  <c r="J429" i="11"/>
  <c r="M431" i="11"/>
  <c r="N430" i="11"/>
  <c r="M432" i="11" l="1"/>
  <c r="N431" i="11"/>
  <c r="L430" i="11"/>
  <c r="K430" i="11"/>
  <c r="J430" i="11"/>
  <c r="L431" i="11" l="1"/>
  <c r="K431" i="11"/>
  <c r="J431" i="11"/>
  <c r="M433" i="11"/>
  <c r="N432" i="11"/>
  <c r="M434" i="11" l="1"/>
  <c r="N433" i="11"/>
  <c r="L432" i="11"/>
  <c r="K432" i="11"/>
  <c r="J432" i="11"/>
  <c r="L433" i="11" l="1"/>
  <c r="K433" i="11"/>
  <c r="J433" i="11"/>
  <c r="M435" i="11"/>
  <c r="N434" i="11"/>
  <c r="L434" i="11" l="1"/>
  <c r="K434" i="11"/>
  <c r="J434" i="11"/>
  <c r="M436" i="11"/>
  <c r="N435" i="11"/>
  <c r="M437" i="11" l="1"/>
  <c r="N436" i="11"/>
  <c r="L435" i="11"/>
  <c r="K435" i="11"/>
  <c r="J435" i="11"/>
  <c r="L436" i="11" l="1"/>
  <c r="K436" i="11"/>
  <c r="J436" i="11"/>
  <c r="M438" i="11"/>
  <c r="N437" i="11"/>
  <c r="L437" i="11" l="1"/>
  <c r="K437" i="11"/>
  <c r="J437" i="11"/>
  <c r="M439" i="11"/>
  <c r="N438" i="11"/>
  <c r="L438" i="11" l="1"/>
  <c r="K438" i="11"/>
  <c r="J438" i="11"/>
  <c r="M440" i="11"/>
  <c r="N439" i="11"/>
  <c r="L439" i="11" l="1"/>
  <c r="K439" i="11"/>
  <c r="J439" i="11"/>
  <c r="M441" i="11"/>
  <c r="N440" i="11"/>
  <c r="M442" i="11" l="1"/>
  <c r="N441" i="11"/>
  <c r="L440" i="11"/>
  <c r="K440" i="11"/>
  <c r="J440" i="11"/>
  <c r="L441" i="11" l="1"/>
  <c r="K441" i="11"/>
  <c r="J441" i="11"/>
  <c r="M443" i="11"/>
  <c r="N442" i="11"/>
  <c r="M444" i="11" l="1"/>
  <c r="N443" i="11"/>
  <c r="L442" i="11"/>
  <c r="K442" i="11"/>
  <c r="J442" i="11"/>
  <c r="L443" i="11" l="1"/>
  <c r="K443" i="11"/>
  <c r="J443" i="11"/>
  <c r="M445" i="11"/>
  <c r="N444" i="11"/>
  <c r="M446" i="11" l="1"/>
  <c r="N445" i="11"/>
  <c r="L444" i="11"/>
  <c r="K444" i="11"/>
  <c r="J444" i="11"/>
  <c r="L445" i="11" l="1"/>
  <c r="K445" i="11"/>
  <c r="J445" i="11"/>
  <c r="M447" i="11"/>
  <c r="N446" i="11"/>
  <c r="M448" i="11" l="1"/>
  <c r="N447" i="11"/>
  <c r="L446" i="11"/>
  <c r="K446" i="11"/>
  <c r="J446" i="11"/>
  <c r="L447" i="11" l="1"/>
  <c r="K447" i="11"/>
  <c r="J447" i="11"/>
  <c r="M449" i="11"/>
  <c r="N448" i="11"/>
  <c r="M450" i="11" l="1"/>
  <c r="N449" i="11"/>
  <c r="L448" i="11"/>
  <c r="K448" i="11"/>
  <c r="J448" i="11"/>
  <c r="L449" i="11" l="1"/>
  <c r="K449" i="11"/>
  <c r="J449" i="11"/>
  <c r="M451" i="11"/>
  <c r="N450" i="11"/>
  <c r="L450" i="11" l="1"/>
  <c r="K450" i="11"/>
  <c r="J450" i="11"/>
  <c r="M452" i="11"/>
  <c r="N451" i="11"/>
  <c r="M453" i="11" l="1"/>
  <c r="N452" i="11"/>
  <c r="L451" i="11"/>
  <c r="K451" i="11"/>
  <c r="J451" i="11"/>
  <c r="L452" i="11" l="1"/>
  <c r="K452" i="11"/>
  <c r="J452" i="11"/>
  <c r="M454" i="11"/>
  <c r="N453" i="11"/>
  <c r="M455" i="11" l="1"/>
  <c r="N454" i="11"/>
  <c r="L453" i="11"/>
  <c r="K453" i="11"/>
  <c r="J453" i="11"/>
  <c r="L454" i="11" l="1"/>
  <c r="K454" i="11"/>
  <c r="J454" i="11"/>
  <c r="M456" i="11"/>
  <c r="N455" i="11"/>
  <c r="M457" i="11" l="1"/>
  <c r="N456" i="11"/>
  <c r="L455" i="11"/>
  <c r="K455" i="11"/>
  <c r="J455" i="11"/>
  <c r="L456" i="11" l="1"/>
  <c r="K456" i="11"/>
  <c r="J456" i="11"/>
  <c r="M458" i="11"/>
  <c r="N457" i="11"/>
  <c r="M459" i="11" l="1"/>
  <c r="N458" i="11"/>
  <c r="L457" i="11"/>
  <c r="K457" i="11"/>
  <c r="J457" i="11"/>
  <c r="L458" i="11" l="1"/>
  <c r="K458" i="11"/>
  <c r="J458" i="11"/>
  <c r="M460" i="11"/>
  <c r="N459" i="11"/>
  <c r="M461" i="11" l="1"/>
  <c r="N460" i="11"/>
  <c r="L459" i="11"/>
  <c r="K459" i="11"/>
  <c r="J459" i="11"/>
  <c r="L460" i="11" l="1"/>
  <c r="K460" i="11"/>
  <c r="J460" i="11"/>
  <c r="M462" i="11"/>
  <c r="N461" i="11"/>
  <c r="L461" i="11" l="1"/>
  <c r="K461" i="11"/>
  <c r="J461" i="11"/>
  <c r="M463" i="11"/>
  <c r="N462" i="11"/>
  <c r="L462" i="11" l="1"/>
  <c r="K462" i="11"/>
  <c r="J462" i="11"/>
  <c r="M464" i="11"/>
  <c r="N463" i="11"/>
  <c r="L463" i="11" l="1"/>
  <c r="J463" i="11"/>
  <c r="K463" i="11"/>
  <c r="M465" i="11"/>
  <c r="N464" i="11"/>
  <c r="M466" i="11" l="1"/>
  <c r="N465" i="11"/>
  <c r="L464" i="11"/>
  <c r="J464" i="11"/>
  <c r="K464" i="11"/>
  <c r="L465" i="11" l="1"/>
  <c r="J465" i="11"/>
  <c r="K465" i="11"/>
  <c r="M467" i="11"/>
  <c r="N466" i="11"/>
  <c r="L466" i="11" l="1"/>
  <c r="J466" i="11"/>
  <c r="K466" i="11"/>
  <c r="M468" i="11"/>
  <c r="N467" i="11"/>
  <c r="L467" i="11" l="1"/>
  <c r="J467" i="11"/>
  <c r="K467" i="11"/>
  <c r="M469" i="11"/>
  <c r="N468" i="11"/>
  <c r="L468" i="11" l="1"/>
  <c r="J468" i="11"/>
  <c r="K468" i="11"/>
  <c r="M470" i="11"/>
  <c r="N469" i="11"/>
  <c r="L469" i="11" l="1"/>
  <c r="J469" i="11"/>
  <c r="K469" i="11"/>
  <c r="M471" i="11"/>
  <c r="N470" i="11"/>
  <c r="M472" i="11" l="1"/>
  <c r="N471" i="11"/>
  <c r="L470" i="11"/>
  <c r="J470" i="11"/>
  <c r="K470" i="11"/>
  <c r="L471" i="11" l="1"/>
  <c r="J471" i="11"/>
  <c r="K471" i="11"/>
  <c r="M473" i="11"/>
  <c r="N472" i="11"/>
  <c r="L472" i="11" l="1"/>
  <c r="J472" i="11"/>
  <c r="K472" i="11"/>
  <c r="M474" i="11"/>
  <c r="N473" i="11"/>
  <c r="L473" i="11" l="1"/>
  <c r="J473" i="11"/>
  <c r="K473" i="11"/>
  <c r="M475" i="11"/>
  <c r="N474" i="11"/>
  <c r="M476" i="11" l="1"/>
  <c r="N475" i="11"/>
  <c r="L474" i="11"/>
  <c r="J474" i="11"/>
  <c r="K474" i="11"/>
  <c r="L475" i="11" l="1"/>
  <c r="J475" i="11"/>
  <c r="K475" i="11"/>
  <c r="M477" i="11"/>
  <c r="N476" i="11"/>
  <c r="M478" i="11" l="1"/>
  <c r="N477" i="11"/>
  <c r="L476" i="11"/>
  <c r="J476" i="11"/>
  <c r="K476" i="11"/>
  <c r="L477" i="11" l="1"/>
  <c r="J477" i="11"/>
  <c r="K477" i="11"/>
  <c r="M479" i="11"/>
  <c r="N478" i="11"/>
  <c r="L478" i="11" l="1"/>
  <c r="J478" i="11"/>
  <c r="K478" i="11"/>
  <c r="M480" i="11"/>
  <c r="N479" i="11"/>
  <c r="L479" i="11" l="1"/>
  <c r="J479" i="11"/>
  <c r="K479" i="11"/>
  <c r="M481" i="11"/>
  <c r="N480" i="11"/>
  <c r="M482" i="11" l="1"/>
  <c r="N481" i="11"/>
  <c r="L480" i="11"/>
  <c r="J480" i="11"/>
  <c r="K480" i="11"/>
  <c r="L481" i="11" l="1"/>
  <c r="J481" i="11"/>
  <c r="K481" i="11"/>
  <c r="M483" i="11"/>
  <c r="N482" i="11"/>
  <c r="M484" i="11" l="1"/>
  <c r="N483" i="11"/>
  <c r="L482" i="11"/>
  <c r="J482" i="11"/>
  <c r="K482" i="11"/>
  <c r="L483" i="11" l="1"/>
  <c r="J483" i="11"/>
  <c r="K483" i="11"/>
  <c r="M485" i="11"/>
  <c r="N484" i="11"/>
  <c r="L484" i="11" l="1"/>
  <c r="J484" i="11"/>
  <c r="K484" i="11"/>
  <c r="M486" i="11"/>
  <c r="N485" i="11"/>
  <c r="L485" i="11" l="1"/>
  <c r="J485" i="11"/>
  <c r="K485" i="11"/>
  <c r="M487" i="11"/>
  <c r="N486" i="11"/>
  <c r="L486" i="11" l="1"/>
  <c r="J486" i="11"/>
  <c r="K486" i="11"/>
  <c r="M488" i="11"/>
  <c r="N487" i="11"/>
  <c r="M489" i="11" l="1"/>
  <c r="N488" i="11"/>
  <c r="L487" i="11"/>
  <c r="J487" i="11"/>
  <c r="K487" i="11"/>
  <c r="L488" i="11" l="1"/>
  <c r="J488" i="11"/>
  <c r="K488" i="11"/>
  <c r="M490" i="11"/>
  <c r="N489" i="11"/>
  <c r="L489" i="11" l="1"/>
  <c r="J489" i="11"/>
  <c r="K489" i="11"/>
  <c r="M491" i="11"/>
  <c r="N490" i="11"/>
  <c r="L490" i="11" l="1"/>
  <c r="J490" i="11"/>
  <c r="K490" i="11"/>
  <c r="M492" i="11"/>
  <c r="N491" i="11"/>
  <c r="L491" i="11" l="1"/>
  <c r="J491" i="11"/>
  <c r="K491" i="11"/>
  <c r="M493" i="11"/>
  <c r="N492" i="11"/>
  <c r="L492" i="11" l="1"/>
  <c r="J492" i="11"/>
  <c r="K492" i="11"/>
  <c r="M494" i="11"/>
  <c r="N493" i="11"/>
  <c r="M495" i="11" l="1"/>
  <c r="N494" i="11"/>
  <c r="L493" i="11"/>
  <c r="J493" i="11"/>
  <c r="K493" i="11"/>
  <c r="L494" i="11" l="1"/>
  <c r="J494" i="11"/>
  <c r="K494" i="11"/>
  <c r="M496" i="11"/>
  <c r="N495" i="11"/>
  <c r="L495" i="11" l="1"/>
  <c r="J495" i="11"/>
  <c r="K495" i="11"/>
  <c r="M497" i="11"/>
  <c r="N496" i="11"/>
  <c r="L496" i="11" l="1"/>
  <c r="J496" i="11"/>
  <c r="K496" i="11"/>
  <c r="M498" i="11"/>
  <c r="N497" i="11"/>
  <c r="L497" i="11" l="1"/>
  <c r="J497" i="11"/>
  <c r="K497" i="11"/>
  <c r="M499" i="11"/>
  <c r="N498" i="11"/>
  <c r="M500" i="11" l="1"/>
  <c r="N499" i="11"/>
  <c r="L498" i="11"/>
  <c r="J498" i="11"/>
  <c r="K498" i="11"/>
  <c r="L499" i="11" l="1"/>
  <c r="J499" i="11"/>
  <c r="K499" i="11"/>
  <c r="M501" i="11"/>
  <c r="N500" i="11"/>
  <c r="N501" i="11" l="1"/>
  <c r="M502" i="11"/>
  <c r="L500" i="11"/>
  <c r="J500" i="11"/>
  <c r="K500" i="11"/>
  <c r="N502" i="11" l="1"/>
  <c r="M503" i="11"/>
  <c r="L501" i="11"/>
  <c r="J501" i="11"/>
  <c r="K501" i="11"/>
  <c r="N503" i="11" l="1"/>
  <c r="M504" i="11"/>
  <c r="L502" i="11"/>
  <c r="K502" i="11"/>
  <c r="J502" i="11"/>
  <c r="M505" i="11" l="1"/>
  <c r="N504" i="11"/>
  <c r="L503" i="11"/>
  <c r="K503" i="11"/>
  <c r="J503" i="11"/>
  <c r="L504" i="11" l="1"/>
  <c r="K504" i="11"/>
  <c r="J504" i="11"/>
  <c r="N505" i="11"/>
  <c r="M506" i="11"/>
  <c r="L505" i="11" l="1"/>
  <c r="K505" i="11"/>
  <c r="J505" i="11"/>
  <c r="N506" i="11"/>
  <c r="M507" i="11"/>
  <c r="N507" i="11" l="1"/>
  <c r="M508" i="11"/>
  <c r="L506" i="11"/>
  <c r="K506" i="11"/>
  <c r="J506" i="11"/>
  <c r="M509" i="11" l="1"/>
  <c r="N508" i="11"/>
  <c r="L507" i="11"/>
  <c r="K507" i="11"/>
  <c r="J507" i="11"/>
  <c r="L508" i="11" l="1"/>
  <c r="K508" i="11"/>
  <c r="J508" i="11"/>
  <c r="N509" i="11"/>
  <c r="M510" i="11"/>
  <c r="N510" i="11" l="1"/>
  <c r="M511" i="11"/>
  <c r="L509" i="11"/>
  <c r="K509" i="11"/>
  <c r="J509" i="11"/>
  <c r="N511" i="11" l="1"/>
  <c r="M512" i="11"/>
  <c r="L510" i="11"/>
  <c r="K510" i="11"/>
  <c r="J510" i="11"/>
  <c r="M513" i="11" l="1"/>
  <c r="N512" i="11"/>
  <c r="L511" i="11"/>
  <c r="K511" i="11"/>
  <c r="J511" i="11"/>
  <c r="L512" i="11" l="1"/>
  <c r="K512" i="11"/>
  <c r="J512" i="11"/>
  <c r="N513" i="11"/>
  <c r="M514" i="11"/>
  <c r="N514" i="11" l="1"/>
  <c r="M515" i="11"/>
  <c r="L513" i="11"/>
  <c r="K513" i="11"/>
  <c r="J513" i="11"/>
  <c r="N515" i="11" l="1"/>
  <c r="M516" i="11"/>
  <c r="L514" i="11"/>
  <c r="K514" i="11"/>
  <c r="J514" i="11"/>
  <c r="M517" i="11" l="1"/>
  <c r="N516" i="11"/>
  <c r="L515" i="11"/>
  <c r="K515" i="11"/>
  <c r="J515" i="11"/>
  <c r="L516" i="11" l="1"/>
  <c r="K516" i="11"/>
  <c r="J516" i="11"/>
  <c r="N517" i="11"/>
  <c r="M518" i="11"/>
  <c r="N518" i="11" l="1"/>
  <c r="M519" i="11"/>
  <c r="L517" i="11"/>
  <c r="K517" i="11"/>
  <c r="J517" i="11"/>
  <c r="N519" i="11" l="1"/>
  <c r="M520" i="11"/>
  <c r="L518" i="11"/>
  <c r="K518" i="11"/>
  <c r="J518" i="11"/>
  <c r="N520" i="11" l="1"/>
  <c r="M521" i="11"/>
  <c r="L519" i="11"/>
  <c r="K519" i="11"/>
  <c r="J519" i="11"/>
  <c r="N521" i="11" l="1"/>
  <c r="M522" i="11"/>
  <c r="L520" i="11"/>
  <c r="K520" i="11"/>
  <c r="J520" i="11"/>
  <c r="N522" i="11" l="1"/>
  <c r="M523" i="11"/>
  <c r="L521" i="11"/>
  <c r="K521" i="11"/>
  <c r="J521" i="11"/>
  <c r="N523" i="11" l="1"/>
  <c r="M524" i="11"/>
  <c r="L522" i="11"/>
  <c r="K522" i="11"/>
  <c r="J522" i="11"/>
  <c r="N524" i="11" l="1"/>
  <c r="M525" i="11"/>
  <c r="L523" i="11"/>
  <c r="K523" i="11"/>
  <c r="J523" i="11"/>
  <c r="N525" i="11" l="1"/>
  <c r="M526" i="11"/>
  <c r="L524" i="11"/>
  <c r="K524" i="11"/>
  <c r="J524" i="11"/>
  <c r="N526" i="11" l="1"/>
  <c r="M527" i="11"/>
  <c r="L525" i="11"/>
  <c r="K525" i="11"/>
  <c r="J525" i="11"/>
  <c r="N527" i="11" l="1"/>
  <c r="M528" i="11"/>
  <c r="L526" i="11"/>
  <c r="K526" i="11"/>
  <c r="J526" i="11"/>
  <c r="N528" i="11" l="1"/>
  <c r="M529" i="11"/>
  <c r="L527" i="11"/>
  <c r="K527" i="11"/>
  <c r="J527" i="11"/>
  <c r="N529" i="11" l="1"/>
  <c r="M530" i="11"/>
  <c r="L528" i="11"/>
  <c r="K528" i="11"/>
  <c r="J528" i="11"/>
  <c r="N530" i="11" l="1"/>
  <c r="M531" i="11"/>
  <c r="L529" i="11"/>
  <c r="K529" i="11"/>
  <c r="J529" i="11"/>
  <c r="N531" i="11" l="1"/>
  <c r="M532" i="11"/>
  <c r="L530" i="11"/>
  <c r="K530" i="11"/>
  <c r="J530" i="11"/>
  <c r="N532" i="11" l="1"/>
  <c r="M533" i="11"/>
  <c r="L531" i="11"/>
  <c r="K531" i="11"/>
  <c r="J531" i="11"/>
  <c r="N533" i="11" l="1"/>
  <c r="M534" i="11"/>
  <c r="L532" i="11"/>
  <c r="K532" i="11"/>
  <c r="J532" i="11"/>
  <c r="N534" i="11" l="1"/>
  <c r="M535" i="11"/>
  <c r="L533" i="11"/>
  <c r="K533" i="11"/>
  <c r="J533" i="11"/>
  <c r="N535" i="11" l="1"/>
  <c r="M536" i="11"/>
  <c r="L534" i="11"/>
  <c r="K534" i="11"/>
  <c r="J534" i="11"/>
  <c r="N536" i="11" l="1"/>
  <c r="M537" i="11"/>
  <c r="L535" i="11"/>
  <c r="K535" i="11"/>
  <c r="J535" i="11"/>
  <c r="N537" i="11" l="1"/>
  <c r="M538" i="11"/>
  <c r="L536" i="11"/>
  <c r="K536" i="11"/>
  <c r="J536" i="11"/>
  <c r="N538" i="11" l="1"/>
  <c r="M539" i="11"/>
  <c r="L537" i="11"/>
  <c r="K537" i="11"/>
  <c r="J537" i="11"/>
  <c r="N539" i="11" l="1"/>
  <c r="M540" i="11"/>
  <c r="L538" i="11"/>
  <c r="K538" i="11"/>
  <c r="J538" i="11"/>
  <c r="N540" i="11" l="1"/>
  <c r="M541" i="11"/>
  <c r="L539" i="11"/>
  <c r="K539" i="11"/>
  <c r="J539" i="11"/>
  <c r="N541" i="11" l="1"/>
  <c r="M542" i="11"/>
  <c r="L540" i="11"/>
  <c r="K540" i="11"/>
  <c r="J540" i="11"/>
  <c r="N542" i="11" l="1"/>
  <c r="M543" i="11"/>
  <c r="L541" i="11"/>
  <c r="K541" i="11"/>
  <c r="J541" i="11"/>
  <c r="N543" i="11" l="1"/>
  <c r="M544" i="11"/>
  <c r="L542" i="11"/>
  <c r="K542" i="11"/>
  <c r="J542" i="11"/>
  <c r="N544" i="11" l="1"/>
  <c r="M545" i="11"/>
  <c r="L543" i="11"/>
  <c r="K543" i="11"/>
  <c r="J543" i="11"/>
  <c r="N545" i="11" l="1"/>
  <c r="M546" i="11"/>
  <c r="L544" i="11"/>
  <c r="K544" i="11"/>
  <c r="J544" i="11"/>
  <c r="N546" i="11" l="1"/>
  <c r="M547" i="11"/>
  <c r="L545" i="11"/>
  <c r="K545" i="11"/>
  <c r="J545" i="11"/>
  <c r="N547" i="11" l="1"/>
  <c r="M548" i="11"/>
  <c r="L546" i="11"/>
  <c r="K546" i="11"/>
  <c r="J546" i="11"/>
  <c r="N548" i="11" l="1"/>
  <c r="M549" i="11"/>
  <c r="L547" i="11"/>
  <c r="K547" i="11"/>
  <c r="J547" i="11"/>
  <c r="N549" i="11" l="1"/>
  <c r="M550" i="11"/>
  <c r="L548" i="11"/>
  <c r="K548" i="11"/>
  <c r="J548" i="11"/>
  <c r="N550" i="11" l="1"/>
  <c r="M551" i="11"/>
  <c r="L549" i="11"/>
  <c r="K549" i="11"/>
  <c r="J549" i="11"/>
  <c r="N551" i="11" l="1"/>
  <c r="M552" i="11"/>
  <c r="L550" i="11"/>
  <c r="K550" i="11"/>
  <c r="J550" i="11"/>
  <c r="N552" i="11" l="1"/>
  <c r="M553" i="11"/>
  <c r="L551" i="11"/>
  <c r="K551" i="11"/>
  <c r="J551" i="11"/>
  <c r="N553" i="11" l="1"/>
  <c r="M554" i="11"/>
  <c r="L552" i="11"/>
  <c r="K552" i="11"/>
  <c r="J552" i="11"/>
  <c r="N554" i="11" l="1"/>
  <c r="M555" i="11"/>
  <c r="L553" i="11"/>
  <c r="K553" i="11"/>
  <c r="J553" i="11"/>
  <c r="N555" i="11" l="1"/>
  <c r="M556" i="11"/>
  <c r="L554" i="11"/>
  <c r="K554" i="11"/>
  <c r="J554" i="11"/>
  <c r="N556" i="11" l="1"/>
  <c r="M557" i="11"/>
  <c r="L555" i="11"/>
  <c r="K555" i="11"/>
  <c r="J555" i="11"/>
  <c r="N557" i="11" l="1"/>
  <c r="M558" i="11"/>
  <c r="L556" i="11"/>
  <c r="K556" i="11"/>
  <c r="J556" i="11"/>
  <c r="N558" i="11" l="1"/>
  <c r="M559" i="11"/>
  <c r="L557" i="11"/>
  <c r="K557" i="11"/>
  <c r="J557" i="11"/>
  <c r="N559" i="11" l="1"/>
  <c r="M560" i="11"/>
  <c r="L558" i="11"/>
  <c r="K558" i="11"/>
  <c r="J558" i="11"/>
  <c r="N560" i="11" l="1"/>
  <c r="M561" i="11"/>
  <c r="L559" i="11"/>
  <c r="K559" i="11"/>
  <c r="J559" i="11"/>
  <c r="N561" i="11" l="1"/>
  <c r="M562" i="11"/>
  <c r="L560" i="11"/>
  <c r="K560" i="11"/>
  <c r="J560" i="11"/>
  <c r="N562" i="11" l="1"/>
  <c r="M563" i="11"/>
  <c r="L561" i="11"/>
  <c r="K561" i="11"/>
  <c r="J561" i="11"/>
  <c r="N563" i="11" l="1"/>
  <c r="M564" i="11"/>
  <c r="L562" i="11"/>
  <c r="K562" i="11"/>
  <c r="J562" i="11"/>
  <c r="N564" i="11" l="1"/>
  <c r="M565" i="11"/>
  <c r="L563" i="11"/>
  <c r="K563" i="11"/>
  <c r="J563" i="11"/>
  <c r="N565" i="11" l="1"/>
  <c r="M566" i="11"/>
  <c r="L564" i="11"/>
  <c r="K564" i="11"/>
  <c r="J564" i="11"/>
  <c r="N566" i="11" l="1"/>
  <c r="M567" i="11"/>
  <c r="L565" i="11"/>
  <c r="K565" i="11"/>
  <c r="J565" i="11"/>
  <c r="N567" i="11" l="1"/>
  <c r="M568" i="11"/>
  <c r="L566" i="11"/>
  <c r="K566" i="11"/>
  <c r="J566" i="11"/>
  <c r="N568" i="11" l="1"/>
  <c r="M569" i="11"/>
  <c r="L567" i="11"/>
  <c r="K567" i="11"/>
  <c r="J567" i="11"/>
  <c r="N569" i="11" l="1"/>
  <c r="M570" i="11"/>
  <c r="L568" i="11"/>
  <c r="K568" i="11"/>
  <c r="J568" i="11"/>
  <c r="N570" i="11" l="1"/>
  <c r="M571" i="11"/>
  <c r="L569" i="11"/>
  <c r="K569" i="11"/>
  <c r="J569" i="11"/>
  <c r="N571" i="11" l="1"/>
  <c r="M572" i="11"/>
  <c r="L570" i="11"/>
  <c r="K570" i="11"/>
  <c r="J570" i="11"/>
  <c r="N572" i="11" l="1"/>
  <c r="M573" i="11"/>
  <c r="L571" i="11"/>
  <c r="K571" i="11"/>
  <c r="J571" i="11"/>
  <c r="N573" i="11" l="1"/>
  <c r="M574" i="11"/>
  <c r="L572" i="11"/>
  <c r="K572" i="11"/>
  <c r="J572" i="11"/>
  <c r="N574" i="11" l="1"/>
  <c r="M575" i="11"/>
  <c r="L573" i="11"/>
  <c r="K573" i="11"/>
  <c r="J573" i="11"/>
  <c r="N575" i="11" l="1"/>
  <c r="M576" i="11"/>
  <c r="L574" i="11"/>
  <c r="K574" i="11"/>
  <c r="J574" i="11"/>
  <c r="N576" i="11" l="1"/>
  <c r="M577" i="11"/>
  <c r="L575" i="11"/>
  <c r="K575" i="11"/>
  <c r="J575" i="11"/>
  <c r="N577" i="11" l="1"/>
  <c r="M578" i="11"/>
  <c r="L576" i="11"/>
  <c r="K576" i="11"/>
  <c r="J576" i="11"/>
  <c r="M579" i="11" l="1"/>
  <c r="N578" i="11"/>
  <c r="L577" i="11"/>
  <c r="K577" i="11"/>
  <c r="J577" i="11"/>
  <c r="L578" i="11" l="1"/>
  <c r="K578" i="11"/>
  <c r="J578" i="11"/>
  <c r="N579" i="11"/>
  <c r="M580" i="11"/>
  <c r="N580" i="11" l="1"/>
  <c r="M581" i="11"/>
  <c r="K579" i="11"/>
  <c r="L579" i="11"/>
  <c r="J579" i="11"/>
  <c r="N581" i="11" l="1"/>
  <c r="M582" i="11"/>
  <c r="L580" i="11"/>
  <c r="K580" i="11"/>
  <c r="J580" i="11"/>
  <c r="M583" i="11" l="1"/>
  <c r="N582" i="11"/>
  <c r="L581" i="11"/>
  <c r="K581" i="11"/>
  <c r="J581" i="11"/>
  <c r="L582" i="11" l="1"/>
  <c r="K582" i="11"/>
  <c r="J582" i="11"/>
  <c r="N583" i="11"/>
  <c r="M584" i="11"/>
  <c r="N584" i="11" l="1"/>
  <c r="M585" i="11"/>
  <c r="K583" i="11"/>
  <c r="L583" i="11"/>
  <c r="J583" i="11"/>
  <c r="N585" i="11" l="1"/>
  <c r="M586" i="11"/>
  <c r="L584" i="11"/>
  <c r="K584" i="11"/>
  <c r="J584" i="11"/>
  <c r="M587" i="11" l="1"/>
  <c r="N586" i="11"/>
  <c r="L585" i="11"/>
  <c r="K585" i="11"/>
  <c r="J585" i="11"/>
  <c r="L586" i="11" l="1"/>
  <c r="K586" i="11"/>
  <c r="J586" i="11"/>
  <c r="N587" i="11"/>
  <c r="M588" i="11"/>
  <c r="N588" i="11" l="1"/>
  <c r="M589" i="11"/>
  <c r="K587" i="11"/>
  <c r="L587" i="11"/>
  <c r="J587" i="11"/>
  <c r="N589" i="11" l="1"/>
  <c r="M590" i="11"/>
  <c r="L588" i="11"/>
  <c r="K588" i="11"/>
  <c r="J588" i="11"/>
  <c r="M591" i="11" l="1"/>
  <c r="N590" i="11"/>
  <c r="L589" i="11"/>
  <c r="K589" i="11"/>
  <c r="J589" i="11"/>
  <c r="L590" i="11" l="1"/>
  <c r="K590" i="11"/>
  <c r="J590" i="11"/>
  <c r="N591" i="11"/>
  <c r="M592" i="11"/>
  <c r="N592" i="11" l="1"/>
  <c r="M593" i="11"/>
  <c r="K591" i="11"/>
  <c r="L591" i="11"/>
  <c r="J591" i="11"/>
  <c r="N593" i="11" l="1"/>
  <c r="M594" i="11"/>
  <c r="L592" i="11"/>
  <c r="K592" i="11"/>
  <c r="J592" i="11"/>
  <c r="M595" i="11" l="1"/>
  <c r="N594" i="11"/>
  <c r="L593" i="11"/>
  <c r="K593" i="11"/>
  <c r="J593" i="11"/>
  <c r="L594" i="11" l="1"/>
  <c r="K594" i="11"/>
  <c r="J594" i="11"/>
  <c r="N595" i="11"/>
  <c r="M596" i="11"/>
  <c r="N596" i="11" l="1"/>
  <c r="M597" i="11"/>
  <c r="K595" i="11"/>
  <c r="L595" i="11"/>
  <c r="J595" i="11"/>
  <c r="N597" i="11" l="1"/>
  <c r="M598" i="11"/>
  <c r="L596" i="11"/>
  <c r="K596" i="11"/>
  <c r="J596" i="11"/>
  <c r="M599" i="11" l="1"/>
  <c r="N598" i="11"/>
  <c r="L597" i="11"/>
  <c r="K597" i="11"/>
  <c r="J597" i="11"/>
  <c r="L598" i="11" l="1"/>
  <c r="K598" i="11"/>
  <c r="J598" i="11"/>
  <c r="N599" i="11"/>
  <c r="M600" i="11"/>
  <c r="N600" i="11" l="1"/>
  <c r="M601" i="11"/>
  <c r="K599" i="11"/>
  <c r="L599" i="11"/>
  <c r="J599" i="11"/>
  <c r="N601" i="11" l="1"/>
  <c r="M602" i="11"/>
  <c r="L600" i="11"/>
  <c r="K600" i="11"/>
  <c r="J600" i="11"/>
  <c r="M603" i="11" l="1"/>
  <c r="N602" i="11"/>
  <c r="L601" i="11"/>
  <c r="K601" i="11"/>
  <c r="J601" i="11"/>
  <c r="L602" i="11" l="1"/>
  <c r="K602" i="11"/>
  <c r="J602" i="11"/>
  <c r="N603" i="11"/>
  <c r="M604" i="11"/>
  <c r="N604" i="11" l="1"/>
  <c r="M605" i="11"/>
  <c r="K603" i="11"/>
  <c r="L603" i="11"/>
  <c r="J603" i="11"/>
  <c r="N605" i="11" l="1"/>
  <c r="M606" i="11"/>
  <c r="L604" i="11"/>
  <c r="K604" i="11"/>
  <c r="J604" i="11"/>
  <c r="M607" i="11" l="1"/>
  <c r="N606" i="11"/>
  <c r="L605" i="11"/>
  <c r="K605" i="11"/>
  <c r="J605" i="11"/>
  <c r="L606" i="11" l="1"/>
  <c r="K606" i="11"/>
  <c r="J606" i="11"/>
  <c r="N607" i="11"/>
  <c r="M608" i="11"/>
  <c r="N608" i="11" l="1"/>
  <c r="M609" i="11"/>
  <c r="K607" i="11"/>
  <c r="L607" i="11"/>
  <c r="J607" i="11"/>
  <c r="N609" i="11" l="1"/>
  <c r="M610" i="11"/>
  <c r="L608" i="11"/>
  <c r="K608" i="11"/>
  <c r="J608" i="11"/>
  <c r="M611" i="11" l="1"/>
  <c r="N610" i="11"/>
  <c r="L609" i="11"/>
  <c r="K609" i="11"/>
  <c r="J609" i="11"/>
  <c r="L610" i="11" l="1"/>
  <c r="K610" i="11"/>
  <c r="J610" i="11"/>
  <c r="N611" i="11"/>
  <c r="M612" i="11"/>
  <c r="N612" i="11" l="1"/>
  <c r="M613" i="11"/>
  <c r="K611" i="11"/>
  <c r="L611" i="11"/>
  <c r="J611" i="11"/>
  <c r="N613" i="11" l="1"/>
  <c r="M614" i="11"/>
  <c r="L612" i="11"/>
  <c r="K612" i="11"/>
  <c r="J612" i="11"/>
  <c r="M615" i="11" l="1"/>
  <c r="N614" i="11"/>
  <c r="L613" i="11"/>
  <c r="K613" i="11"/>
  <c r="J613" i="11"/>
  <c r="L614" i="11" l="1"/>
  <c r="K614" i="11"/>
  <c r="J614" i="11"/>
  <c r="N615" i="11"/>
  <c r="M616" i="11"/>
  <c r="N616" i="11" l="1"/>
  <c r="M617" i="11"/>
  <c r="K615" i="11"/>
  <c r="L615" i="11"/>
  <c r="J615" i="11"/>
  <c r="N617" i="11" l="1"/>
  <c r="M618" i="11"/>
  <c r="L616" i="11"/>
  <c r="K616" i="11"/>
  <c r="J616" i="11"/>
  <c r="M619" i="11" l="1"/>
  <c r="N618" i="11"/>
  <c r="L617" i="11"/>
  <c r="K617" i="11"/>
  <c r="J617" i="11"/>
  <c r="L618" i="11" l="1"/>
  <c r="K618" i="11"/>
  <c r="J618" i="11"/>
  <c r="N619" i="11"/>
  <c r="M620" i="11"/>
  <c r="N620" i="11" l="1"/>
  <c r="M621" i="11"/>
  <c r="K619" i="11"/>
  <c r="L619" i="11"/>
  <c r="J619" i="11"/>
  <c r="N621" i="11" l="1"/>
  <c r="M622" i="11"/>
  <c r="L620" i="11"/>
  <c r="K620" i="11"/>
  <c r="J620" i="11"/>
  <c r="M623" i="11" l="1"/>
  <c r="N622" i="11"/>
  <c r="L621" i="11"/>
  <c r="J621" i="11"/>
  <c r="K621" i="11"/>
  <c r="L622" i="11" l="1"/>
  <c r="J622" i="11"/>
  <c r="K622" i="11"/>
  <c r="N623" i="11"/>
  <c r="M624" i="11"/>
  <c r="N624" i="11" l="1"/>
  <c r="M625" i="11"/>
  <c r="L623" i="11"/>
  <c r="J623" i="11"/>
  <c r="K623" i="11"/>
  <c r="N625" i="11" l="1"/>
  <c r="M626" i="11"/>
  <c r="L624" i="11"/>
  <c r="J624" i="11"/>
  <c r="K624" i="11"/>
  <c r="M627" i="11" l="1"/>
  <c r="N626" i="11"/>
  <c r="L625" i="11"/>
  <c r="J625" i="11"/>
  <c r="K625" i="11"/>
  <c r="L626" i="11" l="1"/>
  <c r="J626" i="11"/>
  <c r="K626" i="11"/>
  <c r="N627" i="11"/>
  <c r="M628" i="11"/>
  <c r="N628" i="11" l="1"/>
  <c r="M629" i="11"/>
  <c r="L627" i="11"/>
  <c r="J627" i="11"/>
  <c r="K627" i="11"/>
  <c r="N629" i="11" l="1"/>
  <c r="M630" i="11"/>
  <c r="L628" i="11"/>
  <c r="J628" i="11"/>
  <c r="K628" i="11"/>
  <c r="N630" i="11" l="1"/>
  <c r="M631" i="11"/>
  <c r="L629" i="11"/>
  <c r="J629" i="11"/>
  <c r="K629" i="11"/>
  <c r="N631" i="11" l="1"/>
  <c r="M632" i="11"/>
  <c r="L630" i="11"/>
  <c r="J630" i="11"/>
  <c r="K630" i="11"/>
  <c r="N632" i="11" l="1"/>
  <c r="M633" i="11"/>
  <c r="L631" i="11"/>
  <c r="K631" i="11"/>
  <c r="J631" i="11"/>
  <c r="N633" i="11" l="1"/>
  <c r="M634" i="11"/>
  <c r="L632" i="11"/>
  <c r="J632" i="11"/>
  <c r="K632" i="11"/>
  <c r="N634" i="11" l="1"/>
  <c r="M635" i="11"/>
  <c r="L633" i="11"/>
  <c r="K633" i="11"/>
  <c r="J633" i="11"/>
  <c r="N635" i="11" l="1"/>
  <c r="M636" i="11"/>
  <c r="L634" i="11"/>
  <c r="J634" i="11"/>
  <c r="K634" i="11"/>
  <c r="N636" i="11" l="1"/>
  <c r="M637" i="11"/>
  <c r="L635" i="11"/>
  <c r="K635" i="11"/>
  <c r="J635" i="11"/>
  <c r="N637" i="11" l="1"/>
  <c r="M638" i="11"/>
  <c r="L636" i="11"/>
  <c r="J636" i="11"/>
  <c r="K636" i="11"/>
  <c r="N638" i="11" l="1"/>
  <c r="M639" i="11"/>
  <c r="L637" i="11"/>
  <c r="K637" i="11"/>
  <c r="J637" i="11"/>
  <c r="N639" i="11" l="1"/>
  <c r="M640" i="11"/>
  <c r="L638" i="11"/>
  <c r="J638" i="11"/>
  <c r="K638" i="11"/>
  <c r="N640" i="11" l="1"/>
  <c r="M641" i="11"/>
  <c r="L639" i="11"/>
  <c r="K639" i="11"/>
  <c r="J639" i="11"/>
  <c r="N641" i="11" l="1"/>
  <c r="M642" i="11"/>
  <c r="L640" i="11"/>
  <c r="J640" i="11"/>
  <c r="K640" i="11"/>
  <c r="N642" i="11" l="1"/>
  <c r="M643" i="11"/>
  <c r="L641" i="11"/>
  <c r="K641" i="11"/>
  <c r="J641" i="11"/>
  <c r="N643" i="11" l="1"/>
  <c r="M644" i="11"/>
  <c r="L642" i="11"/>
  <c r="J642" i="11"/>
  <c r="K642" i="11"/>
  <c r="N644" i="11" l="1"/>
  <c r="M645" i="11"/>
  <c r="L643" i="11"/>
  <c r="K643" i="11"/>
  <c r="J643" i="11"/>
  <c r="N645" i="11" l="1"/>
  <c r="M646" i="11"/>
  <c r="L644" i="11"/>
  <c r="J644" i="11"/>
  <c r="K644" i="11"/>
  <c r="N646" i="11" l="1"/>
  <c r="M647" i="11"/>
  <c r="L645" i="11"/>
  <c r="K645" i="11"/>
  <c r="J645" i="11"/>
  <c r="N647" i="11" l="1"/>
  <c r="M648" i="11"/>
  <c r="L646" i="11"/>
  <c r="K646" i="11"/>
  <c r="J646" i="11"/>
  <c r="N648" i="11" l="1"/>
  <c r="M649" i="11"/>
  <c r="L647" i="11"/>
  <c r="J647" i="11"/>
  <c r="K647" i="11"/>
  <c r="N649" i="11" l="1"/>
  <c r="M650" i="11"/>
  <c r="N650" i="11" s="1"/>
  <c r="L648" i="11"/>
  <c r="K648" i="11"/>
  <c r="J648" i="11"/>
  <c r="L650" i="11" l="1"/>
  <c r="K650" i="11"/>
  <c r="J650" i="11"/>
  <c r="L649" i="11"/>
  <c r="J649" i="11"/>
  <c r="K649" i="11"/>
</calcChain>
</file>

<file path=xl/sharedStrings.xml><?xml version="1.0" encoding="utf-8"?>
<sst xmlns="http://schemas.openxmlformats.org/spreadsheetml/2006/main" count="3235" uniqueCount="216">
  <si>
    <t>data input cells</t>
  </si>
  <si>
    <t>calculation cells</t>
  </si>
  <si>
    <t>constant values</t>
  </si>
  <si>
    <t>Totals</t>
  </si>
  <si>
    <t>Site Name:</t>
  </si>
  <si>
    <t>Site Data</t>
  </si>
  <si>
    <t>Target Rainfall Event (in)</t>
  </si>
  <si>
    <t>Weighted CN</t>
  </si>
  <si>
    <t>CN</t>
  </si>
  <si>
    <t>S</t>
  </si>
  <si>
    <t>Land Cover Type</t>
  </si>
  <si>
    <t>N/A</t>
  </si>
  <si>
    <t>Rv Coefficients</t>
  </si>
  <si>
    <t>Impervious Cover</t>
  </si>
  <si>
    <t>Land Cover Summary</t>
  </si>
  <si>
    <t>Site Rv</t>
  </si>
  <si>
    <t>No</t>
  </si>
  <si>
    <t>Downstream Options</t>
  </si>
  <si>
    <t>2-year storm</t>
  </si>
  <si>
    <t>Site Information</t>
  </si>
  <si>
    <t>Rv</t>
  </si>
  <si>
    <t>15-year storm</t>
  </si>
  <si>
    <t>% Natural Cover</t>
  </si>
  <si>
    <t>% Impervious Cover</t>
  </si>
  <si>
    <t>% Compacted Cover (acres)</t>
  </si>
  <si>
    <t>Natural Cover</t>
  </si>
  <si>
    <t>Indicate Post-Development Land Cover</t>
  </si>
  <si>
    <t>Downstream Runoff</t>
  </si>
  <si>
    <t>Land Area</t>
  </si>
  <si>
    <t>Soils</t>
  </si>
  <si>
    <t>Adjusted CN</t>
  </si>
  <si>
    <t>Yes</t>
  </si>
  <si>
    <t>Compacted Cover</t>
  </si>
  <si>
    <t>Cover Type</t>
  </si>
  <si>
    <t>G1-2 Green Roof</t>
  </si>
  <si>
    <t>Subtract 100% of the Sv - the volume stored in the green roof filter media and storage layers.</t>
  </si>
  <si>
    <t>Reduce volume conveyed to grass area by 2.0 cu. ft. per 100 sq. ft. of pervious area.</t>
  </si>
  <si>
    <t>Reduce volume conveyed to conservation area by 6.0 cu. ft. per 100 sq. ft. of conservation area.</t>
  </si>
  <si>
    <t>Reduce volume conveyed to filter path by 4.0 cu. ft. per 100 sq. ft. of filter area.</t>
  </si>
  <si>
    <t>D1 Simple Disconnection to a Pervious Area</t>
  </si>
  <si>
    <t>D2 Simple Disconnection to a Conservation Area</t>
  </si>
  <si>
    <t>D3 Simple Disconnection to Amended Soils</t>
  </si>
  <si>
    <t>Subtract 100% of the Sv - the volume stored in the permeable pavement reservoir layer.</t>
  </si>
  <si>
    <t>I1-2 Stormwater Infiltration</t>
  </si>
  <si>
    <t>O2 Dry Swale</t>
  </si>
  <si>
    <t>Reduce volume (Sv) conveyed through grass channel by 10%.</t>
  </si>
  <si>
    <t>Reduce volume (Sv) conveyed through grass channel by 30%.</t>
  </si>
  <si>
    <r>
      <t>Based on the use of stormwater BMPs in the various drainage areas, the spreadsheet calculates an adjusted RV</t>
    </r>
    <r>
      <rPr>
        <b/>
        <vertAlign val="subscript"/>
        <sz val="10"/>
        <color indexed="12"/>
        <rFont val="Arial"/>
        <family val="2"/>
      </rPr>
      <t>Developed</t>
    </r>
    <r>
      <rPr>
        <b/>
        <sz val="10"/>
        <color indexed="12"/>
        <rFont val="Arial"/>
        <family val="2"/>
      </rPr>
      <t xml:space="preserve"> and adjusted Curve Number.</t>
    </r>
  </si>
  <si>
    <t>No retention credit.</t>
  </si>
  <si>
    <t>R1 Rainwater Harvesting</t>
  </si>
  <si>
    <t>O3 Wet Swale</t>
  </si>
  <si>
    <t>PP1 Proprietary Practice</t>
  </si>
  <si>
    <t>Stormwater Retention Volume, SWRv (cubic feet)</t>
  </si>
  <si>
    <t>Volume Retained (cubic feet)</t>
  </si>
  <si>
    <t>Retention Volume Remaining (cubic feet)</t>
  </si>
  <si>
    <t>B1-5 Bioretention - Enhanced</t>
  </si>
  <si>
    <t>B1-5 Bioretention - Standard</t>
  </si>
  <si>
    <t>Reduce volume conveyed through permeable pavement by 4.5 cu. ft. per 100 sq. ft. of permeable pavement.</t>
  </si>
  <si>
    <t>Area (square feet)</t>
  </si>
  <si>
    <t>100-year storm</t>
  </si>
  <si>
    <t>Type of Cover</t>
  </si>
  <si>
    <t>Site Total</t>
  </si>
  <si>
    <t>O1 Grass Channel</t>
  </si>
  <si>
    <t>O1 Grass Channel with Amended Soils</t>
  </si>
  <si>
    <t>P1-4 Permeable Pavement - Enhanced</t>
  </si>
  <si>
    <t>P1-4 Permeable Pavement - Standard</t>
  </si>
  <si>
    <t>P1-3 Stormwater Ponds</t>
  </si>
  <si>
    <t>W1-2 Wetlands</t>
  </si>
  <si>
    <t>S1-3 Storage</t>
  </si>
  <si>
    <t>Area (sf)</t>
  </si>
  <si>
    <t>Retention Value (cubic feet)</t>
  </si>
  <si>
    <t>Drainage Area Total</t>
  </si>
  <si>
    <t>Site Compliance Calculations</t>
  </si>
  <si>
    <t>At least 50% of SWRv Retained?</t>
  </si>
  <si>
    <t>Site Compliance</t>
  </si>
  <si>
    <t>50% of SWRv Retained?</t>
  </si>
  <si>
    <t>Natural Cover (square feet)</t>
  </si>
  <si>
    <t>Compacted Cover (square feet)</t>
  </si>
  <si>
    <t>Impervious Cover (square feet)</t>
  </si>
  <si>
    <t>Total Area (square feet)</t>
  </si>
  <si>
    <t>SWRv (cubic feet)</t>
  </si>
  <si>
    <t>BMPs</t>
  </si>
  <si>
    <t>Storage Volume Provided By BMPs (cf)</t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</si>
  <si>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no BMPs</t>
    </r>
  </si>
  <si>
    <r>
      <t>RV</t>
    </r>
    <r>
      <rPr>
        <b/>
        <vertAlign val="subscript"/>
        <sz val="10"/>
        <rFont val="Arial"/>
        <family val="2"/>
      </rPr>
      <t>Developed</t>
    </r>
    <r>
      <rPr>
        <b/>
        <sz val="10"/>
        <rFont val="Arial"/>
        <family val="2"/>
      </rPr>
      <t xml:space="preserve"> (in) with BMPs</t>
    </r>
  </si>
  <si>
    <t>BMP</t>
  </si>
  <si>
    <t>Stormwater Retention Volume, SWRv (gallons)</t>
  </si>
  <si>
    <t>Description of Retention Value</t>
  </si>
  <si>
    <t>% Retention Value</t>
  </si>
  <si>
    <t>Potential Retention Volume Remaining (cubic feet)</t>
  </si>
  <si>
    <t>Is Site Located in the MS4?</t>
  </si>
  <si>
    <t>Runoff Volume (in) with no BMPs</t>
  </si>
  <si>
    <t>Runoff Volume (in) with BMPs</t>
  </si>
  <si>
    <t>TP2 Tree Planting</t>
  </si>
  <si>
    <t>TP1 Tree Preservation</t>
  </si>
  <si>
    <t>20 cf credit per tree</t>
  </si>
  <si>
    <t>10 cf credit per tree</t>
  </si>
  <si>
    <t>Retention Volume Remaining (gallons)</t>
  </si>
  <si>
    <t>Treatment Required?</t>
  </si>
  <si>
    <t>Volume Treated (cubic feet)</t>
  </si>
  <si>
    <t>Storage Volume Provided By BMPs (gallons)</t>
  </si>
  <si>
    <t>Additional Treatment Volume (cubic Feet)</t>
  </si>
  <si>
    <t>AWDZ Only</t>
  </si>
  <si>
    <t>Stormwater Treatment Volume, WQTv (cubic feet)</t>
  </si>
  <si>
    <t>Stormwater Treatment Volume, WQTv (gallons)</t>
  </si>
  <si>
    <t>Minimum Requirements for Drainage Area Met?</t>
  </si>
  <si>
    <t>What Type of Activity is Site Undergoing?</t>
  </si>
  <si>
    <t>Major Land Disturbing</t>
  </si>
  <si>
    <t>Major Substantial Improvement</t>
  </si>
  <si>
    <t>Public Right of Way</t>
  </si>
  <si>
    <t>WQTv (cubic feet)</t>
  </si>
  <si>
    <t>At least 50% of SWRv for the Site Retained?</t>
  </si>
  <si>
    <t>Channel and Flood Protection Calculations</t>
  </si>
  <si>
    <t>Indicate Post-Development Land Cover For Public ROW</t>
  </si>
  <si>
    <t>Water Quality Treatment Volume, WQTv (cubic feet)</t>
  </si>
  <si>
    <t>Regulatory Rain Event for SWRv (inches)</t>
  </si>
  <si>
    <t>AWDZ only - Regulatory Rain Event for WQTv (inches)</t>
  </si>
  <si>
    <t>Water Quality Treatment Volume, WQTv (gallons)</t>
  </si>
  <si>
    <t>Site Development</t>
  </si>
  <si>
    <t>% Compacted Cover</t>
  </si>
  <si>
    <t>SWRv and WQTv Summary</t>
  </si>
  <si>
    <t>Site Retention Volume Remaining (cubic feet)</t>
  </si>
  <si>
    <t>Site Retention Volume Remaining (gallons)</t>
  </si>
  <si>
    <t>Site Treatment Volume Remaining (cubic feet)</t>
  </si>
  <si>
    <t>Site Treatment Volume Remaining (gallons)</t>
  </si>
  <si>
    <t>Total Volume Treated (cubic feet)</t>
  </si>
  <si>
    <t>F1-4 Stormwater Filtering Systems</t>
  </si>
  <si>
    <t>v (in)</t>
  </si>
  <si>
    <t>P1-3 Permeable Pavement - Standard</t>
  </si>
  <si>
    <t>P1-3 Permeable Pavement - Enhanced</t>
  </si>
  <si>
    <t>Subtract 10% of the Sv - the calculated storage volume for the practice.</t>
  </si>
  <si>
    <t>Required Off-Site Retention Volume (Offv) (gallons)*</t>
  </si>
  <si>
    <t>*Offv must be achieved on an ongoing basis through use of in lieu fee or Stormwater Retention Credits (SRCs)</t>
  </si>
  <si>
    <t>Total Volume Retained On Site (cubic feet)</t>
  </si>
  <si>
    <t>Excess Volume That May be Eligible for SRCs (gallons)</t>
  </si>
  <si>
    <t>Volume Retained On Site (cubic feet)</t>
  </si>
  <si>
    <t>Drainage Area 1</t>
  </si>
  <si>
    <t>Drainage Area 2</t>
  </si>
  <si>
    <t>Drainage Area 3</t>
  </si>
  <si>
    <t>Drainage Area 4</t>
  </si>
  <si>
    <t>Drainage Area 5</t>
  </si>
  <si>
    <t>D.A. 1 (square feet)</t>
  </si>
  <si>
    <t>D.A. 2 (square feet)</t>
  </si>
  <si>
    <t>D.A. 3 (square feet)</t>
  </si>
  <si>
    <t>D.A. 4 (square feet)</t>
  </si>
  <si>
    <t>D.A. 5 (square feet)</t>
  </si>
  <si>
    <t>D.A. 1</t>
  </si>
  <si>
    <t>D.A. 2</t>
  </si>
  <si>
    <t>D.A. 3</t>
  </si>
  <si>
    <t>D.A. 4</t>
  </si>
  <si>
    <t>D.A. 5</t>
  </si>
  <si>
    <t>Indicate Post-Development Land Cover For D.A. 1</t>
  </si>
  <si>
    <t>Indicate Post-Development Land Cover For D.A. 2</t>
  </si>
  <si>
    <t>Indicate Post-Development Land Cover For D.A. 3</t>
  </si>
  <si>
    <t>Indicate Post-Development Land Cover For D.A. 4</t>
  </si>
  <si>
    <t>Indicate Post-Development Land Cover For D.A. 5</t>
  </si>
  <si>
    <t xml:space="preserve">Vehicular Access Areas* </t>
  </si>
  <si>
    <t>*Vehicular Access areas should be included within the Impervious Cover Category</t>
  </si>
  <si>
    <t>Runoff from Vehicular Access Areas Sufficiently Retained or Treated?</t>
  </si>
  <si>
    <t>Vehicular Access Volume (cubic feet)</t>
  </si>
  <si>
    <t>Vehicular Access Volume Addressed?</t>
  </si>
  <si>
    <t>Vehicular Access Areas Volume Addressed?</t>
  </si>
  <si>
    <t>Area 
(square feet)</t>
  </si>
  <si>
    <t>Volume 
(cubic feet)</t>
  </si>
  <si>
    <t>Number of Trees Preserved</t>
  </si>
  <si>
    <t>Number of Trees Planted</t>
  </si>
  <si>
    <t>Retention Value 
(cubic feet)</t>
  </si>
  <si>
    <t>Potential Retention Volume Remaining 
(cubic feet)</t>
  </si>
  <si>
    <t>Additional Treatment Volume 
(cubic feet)</t>
  </si>
  <si>
    <t>Volume Remaining to Treat 50% of the SWRv (cubic feet)</t>
  </si>
  <si>
    <t>Volume Remaining to Treat 50% of the SWRv (gallons)</t>
  </si>
  <si>
    <t>Volume Remaining to Treat WQTv (cubic feet)</t>
  </si>
  <si>
    <t>Volume Remaining to Treat WQTv (gallons)</t>
  </si>
  <si>
    <t>Downstream BMP</t>
  </si>
  <si>
    <t>Maximum Retention Volume Received by BMP
(cubic feet)</t>
  </si>
  <si>
    <t>Maximum Retention Volume Received from Upstream BMPs 
(cubic feet)</t>
  </si>
  <si>
    <t>Maximum Retention Volume To BMP 
(cubic feet)</t>
  </si>
  <si>
    <t>Surface Area of BMP
(square feet)</t>
  </si>
  <si>
    <t>Storage Volume Provided by BMP
(cubic feet)</t>
  </si>
  <si>
    <t>Subtract a variable % of the volume received by BMP based on cistern storage and reuse rate.</t>
  </si>
  <si>
    <t>Subtract 100% of the Sv - the calculated storage volume for the BMP.</t>
  </si>
  <si>
    <t>Subtract 60% of the Sv - the calculated storage volume for the BMP.</t>
  </si>
  <si>
    <t>Subtract 10% of the Sv - the calculated storage volume for the BMP.</t>
  </si>
  <si>
    <t>Subtract a variable % of the Sv depending on the BMP.</t>
  </si>
  <si>
    <t>Maximum Retention Volume Received by BMP (cubic feet)</t>
  </si>
  <si>
    <t>Maximum Retention Volume Received from Upstream BMPs (cubic feet)</t>
  </si>
  <si>
    <t>Maximum Retention Volume To BMP (cubic feet)</t>
  </si>
  <si>
    <t>Surface Area of BMP (square feet)</t>
  </si>
  <si>
    <t>Storage Volume Provided by BMP (cubic feet)</t>
  </si>
  <si>
    <t>Volume Treated by practice (cf)</t>
  </si>
  <si>
    <t>Lookup Table for Curve Numbers</t>
  </si>
  <si>
    <t>Impervious Cover Draining to BMP</t>
  </si>
  <si>
    <t>Vehicular Access Area Draining to BMP</t>
  </si>
  <si>
    <t>Pervious Cover Draining to BMP</t>
  </si>
  <si>
    <t>Is Site an "AWDZ Site"?</t>
  </si>
  <si>
    <t>Drainage Area 10</t>
  </si>
  <si>
    <t>Drainage Area 9</t>
  </si>
  <si>
    <t>Drainage Area 8</t>
  </si>
  <si>
    <t>Drainage Area 7</t>
  </si>
  <si>
    <t>Drainage Area 6</t>
  </si>
  <si>
    <t>Indicate Post-Development Land Cover For D.A. 6</t>
  </si>
  <si>
    <t>Indicate Post-Development Land Cover For D.A. 7</t>
  </si>
  <si>
    <t>Indicate Post-Development Land Cover For D.A. 8</t>
  </si>
  <si>
    <t>Indicate Post-Development Land Cover For D.A. 9</t>
  </si>
  <si>
    <t>Indicate Post-Development Land Cover For D.A. 10</t>
  </si>
  <si>
    <t>D.A. 6 (square feet)</t>
  </si>
  <si>
    <t>D.A. 7 (square feet)</t>
  </si>
  <si>
    <t>D.A. 8 (square feet)</t>
  </si>
  <si>
    <t>D.A. 9 (square feet)</t>
  </si>
  <si>
    <t>D.A. 10 (square feet)</t>
  </si>
  <si>
    <t>D.A. 10</t>
  </si>
  <si>
    <t>D.A. 9</t>
  </si>
  <si>
    <t>D.A. 8</t>
  </si>
  <si>
    <t>D.A. 7</t>
  </si>
  <si>
    <t>D.A. 6</t>
  </si>
  <si>
    <t>District of Columbia General Retention Compliance Calculator (ed.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</si>
</sst>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&quot;$&quot;#,##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4"/>
      <color indexed="10"/>
      <name val="Arial"/>
      <family val="2"/>
    </font>
    <font>
      <b/>
      <vertAlign val="subscript"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13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7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2" borderId="0" xfId="0" applyFont="1" applyFill="1" applyProtection="1"/>
    <xf numFmtId="0" fontId="1" fillId="0" borderId="0" xfId="0" applyFont="1" applyProtection="1"/>
    <xf numFmtId="0" fontId="3" fillId="3" borderId="0" xfId="0" applyFont="1" applyFill="1" applyProtection="1"/>
    <xf numFmtId="2" fontId="3" fillId="4" borderId="0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3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2" fontId="0" fillId="0" borderId="0" xfId="0" applyNumberFormat="1" applyFill="1" applyBorder="1" applyProtection="1"/>
    <xf numFmtId="2" fontId="5" fillId="0" borderId="0" xfId="0" applyNumberFormat="1" applyFont="1" applyFill="1" applyBorder="1" applyProtection="1"/>
    <xf numFmtId="1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0" borderId="0" xfId="0" applyFont="1" applyAlignment="1" applyProtection="1">
      <alignment horizontal="right"/>
    </xf>
    <xf numFmtId="1" fontId="3" fillId="0" borderId="0" xfId="0" applyNumberFormat="1" applyFont="1" applyProtection="1"/>
    <xf numFmtId="0" fontId="0" fillId="0" borderId="0" xfId="0" applyFill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0" xfId="0" applyFont="1" applyFill="1" applyProtection="1"/>
    <xf numFmtId="1" fontId="5" fillId="0" borderId="0" xfId="0" applyNumberFormat="1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" fontId="0" fillId="0" borderId="0" xfId="0" applyNumberFormat="1" applyBorder="1" applyAlignment="1" applyProtection="1"/>
    <xf numFmtId="43" fontId="0" fillId="0" borderId="0" xfId="0" applyNumberFormat="1" applyBorder="1" applyProtection="1"/>
    <xf numFmtId="0" fontId="0" fillId="0" borderId="0" xfId="0" applyFill="1" applyBorder="1" applyAlignment="1" applyProtection="1"/>
    <xf numFmtId="2" fontId="0" fillId="0" borderId="0" xfId="0" applyNumberFormat="1" applyProtection="1"/>
    <xf numFmtId="0" fontId="0" fillId="0" borderId="1" xfId="0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</xf>
    <xf numFmtId="3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43" fontId="0" fillId="0" borderId="0" xfId="0" applyNumberFormat="1" applyProtection="1"/>
    <xf numFmtId="0" fontId="10" fillId="0" borderId="0" xfId="0" applyFont="1" applyBorder="1" applyProtection="1"/>
    <xf numFmtId="0" fontId="0" fillId="2" borderId="1" xfId="0" applyFill="1" applyBorder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2" fontId="5" fillId="4" borderId="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vertical="center"/>
    </xf>
    <xf numFmtId="9" fontId="0" fillId="0" borderId="0" xfId="2" applyFo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/>
    </xf>
    <xf numFmtId="0" fontId="3" fillId="0" borderId="0" xfId="0" applyFont="1" applyFill="1" applyProtection="1"/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vertical="justify" wrapText="1"/>
    </xf>
    <xf numFmtId="0" fontId="0" fillId="0" borderId="0" xfId="0" applyBorder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3" fillId="0" borderId="1" xfId="0" applyFont="1" applyBorder="1" applyProtection="1"/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0" fontId="10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center"/>
    </xf>
    <xf numFmtId="165" fontId="10" fillId="0" borderId="0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2" fontId="10" fillId="0" borderId="0" xfId="0" applyNumberFormat="1" applyFont="1" applyBorder="1" applyAlignment="1" applyProtection="1">
      <alignment horizontal="left" indent="1"/>
    </xf>
    <xf numFmtId="2" fontId="12" fillId="0" borderId="0" xfId="0" applyNumberFormat="1" applyFont="1" applyBorder="1" applyAlignment="1" applyProtection="1">
      <alignment horizontal="center"/>
    </xf>
    <xf numFmtId="0" fontId="5" fillId="0" borderId="1" xfId="0" applyFont="1" applyBorder="1" applyProtection="1"/>
    <xf numFmtId="164" fontId="5" fillId="3" borderId="1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Fill="1" applyBorder="1" applyProtection="1"/>
    <xf numFmtId="9" fontId="5" fillId="3" borderId="1" xfId="2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Protection="1"/>
    <xf numFmtId="3" fontId="3" fillId="3" borderId="1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3" fontId="5" fillId="0" borderId="0" xfId="0" applyNumberFormat="1" applyFont="1" applyProtection="1"/>
    <xf numFmtId="3" fontId="0" fillId="0" borderId="0" xfId="0" applyNumberForma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center" wrapText="1"/>
    </xf>
    <xf numFmtId="3" fontId="0" fillId="0" borderId="0" xfId="0" applyNumberFormat="1" applyBorder="1" applyProtection="1"/>
    <xf numFmtId="3" fontId="0" fillId="0" borderId="0" xfId="0" applyNumberFormat="1" applyBorder="1" applyAlignment="1" applyProtection="1"/>
    <xf numFmtId="1" fontId="3" fillId="0" borderId="0" xfId="0" applyNumberFormat="1" applyFont="1" applyBorder="1" applyAlignment="1" applyProtection="1"/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5" fillId="0" borderId="5" xfId="0" applyFont="1" applyFill="1" applyBorder="1" applyAlignment="1" applyProtection="1"/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/>
    <xf numFmtId="3" fontId="0" fillId="0" borderId="0" xfId="2" applyNumberFormat="1" applyFont="1" applyProtection="1"/>
    <xf numFmtId="3" fontId="0" fillId="0" borderId="0" xfId="0" applyNumberFormat="1" applyBorder="1" applyAlignment="1" applyProtection="1">
      <alignment horizontal="center"/>
    </xf>
    <xf numFmtId="3" fontId="5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3" fontId="0" fillId="0" borderId="0" xfId="0" applyNumberFormat="1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0" fillId="0" borderId="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5" fillId="0" borderId="1" xfId="0" applyFont="1" applyFill="1" applyBorder="1" applyAlignment="1" applyProtection="1"/>
    <xf numFmtId="1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" fontId="5" fillId="0" borderId="0" xfId="0" applyNumberFormat="1" applyFont="1" applyAlignment="1" applyProtection="1">
      <alignment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Alignment="1" applyProtection="1">
      <alignment horizontal="left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wrapText="1"/>
    </xf>
    <xf numFmtId="167" fontId="3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3" fontId="3" fillId="0" borderId="5" xfId="0" applyNumberFormat="1" applyFont="1" applyFill="1" applyBorder="1" applyAlignment="1" applyProtection="1">
      <alignment horizontal="center" wrapText="1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Protection="1"/>
    <xf numFmtId="0" fontId="4" fillId="0" borderId="0" xfId="0" applyFont="1" applyBorder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3" fontId="0" fillId="0" borderId="0" xfId="0" applyNumberFormat="1" applyAlignment="1" applyProtection="1">
      <alignment wrapText="1"/>
    </xf>
    <xf numFmtId="0" fontId="0" fillId="0" borderId="1" xfId="0" applyBorder="1" applyAlignment="1" applyProtection="1">
      <alignment vertical="center" wrapText="1"/>
    </xf>
    <xf numFmtId="0" fontId="1" fillId="0" borderId="1" xfId="0" applyFont="1" applyBorder="1" applyProtection="1"/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3" fillId="0" borderId="1" xfId="0" applyFont="1" applyFill="1" applyBorder="1" applyAlignment="1" applyProtection="1">
      <alignment wrapText="1"/>
    </xf>
    <xf numFmtId="1" fontId="5" fillId="0" borderId="0" xfId="0" applyNumberFormat="1" applyFont="1" applyAlignment="1" applyProtection="1">
      <alignment horizontal="center" wrapText="1"/>
    </xf>
    <xf numFmtId="3" fontId="5" fillId="3" borderId="1" xfId="0" applyNumberFormat="1" applyFont="1" applyFill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3" fontId="3" fillId="3" borderId="17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3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/>
    <xf numFmtId="0" fontId="7" fillId="0" borderId="0" xfId="0" applyFont="1" applyAlignment="1" applyProtection="1"/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1" fontId="5" fillId="3" borderId="21" xfId="0" applyNumberFormat="1" applyFont="1" applyFill="1" applyBorder="1" applyAlignment="1" applyProtection="1">
      <alignment horizontal="center"/>
    </xf>
    <xf numFmtId="164" fontId="5" fillId="3" borderId="30" xfId="0" applyNumberFormat="1" applyFont="1" applyFill="1" applyBorder="1" applyAlignment="1" applyProtection="1">
      <alignment horizontal="center"/>
    </xf>
    <xf numFmtId="1" fontId="5" fillId="2" borderId="31" xfId="0" applyNumberFormat="1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3" fontId="3" fillId="5" borderId="1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5" xfId="0" applyFont="1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/>
    <xf numFmtId="3" fontId="3" fillId="0" borderId="0" xfId="0" applyNumberFormat="1" applyFont="1" applyBorder="1" applyProtection="1"/>
    <xf numFmtId="3" fontId="1" fillId="5" borderId="6" xfId="0" applyNumberFormat="1" applyFont="1" applyFill="1" applyBorder="1" applyAlignment="1" applyProtection="1">
      <alignment horizontal="center" vertical="center"/>
      <protection locked="0"/>
    </xf>
    <xf numFmtId="3" fontId="1" fillId="5" borderId="16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3" fontId="0" fillId="2" borderId="16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3" fontId="3" fillId="3" borderId="5" xfId="0" applyNumberFormat="1" applyFont="1" applyFill="1" applyBorder="1" applyAlignment="1" applyProtection="1">
      <alignment horizontal="center" wrapText="1"/>
    </xf>
    <xf numFmtId="2" fontId="0" fillId="3" borderId="1" xfId="0" applyNumberForma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" fontId="0" fillId="0" borderId="0" xfId="0" applyNumberFormat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center"/>
    </xf>
    <xf numFmtId="4" fontId="5" fillId="0" borderId="0" xfId="1" applyNumberFormat="1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7" fillId="0" borderId="0" xfId="0" applyFont="1" applyAlignment="1" applyProtection="1">
      <alignment wrapText="1"/>
    </xf>
    <xf numFmtId="0" fontId="0" fillId="0" borderId="0" xfId="0" applyFill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Border="1" applyProtection="1"/>
    <xf numFmtId="3" fontId="5" fillId="0" borderId="0" xfId="0" applyNumberFormat="1" applyFont="1" applyFill="1" applyBorder="1" applyProtection="1"/>
    <xf numFmtId="0" fontId="0" fillId="0" borderId="18" xfId="0" applyFill="1" applyBorder="1" applyProtection="1"/>
    <xf numFmtId="3" fontId="3" fillId="5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Border="1" applyProtection="1"/>
    <xf numFmtId="3" fontId="3" fillId="0" borderId="0" xfId="0" applyNumberFormat="1" applyFont="1" applyFill="1" applyBorder="1" applyAlignment="1" applyProtection="1">
      <alignment horizontal="center" wrapText="1"/>
    </xf>
    <xf numFmtId="3" fontId="3" fillId="3" borderId="1" xfId="0" applyNumberFormat="1" applyFont="1" applyFill="1" applyBorder="1" applyAlignment="1" applyProtection="1">
      <alignment horizontal="center" wrapText="1"/>
    </xf>
    <xf numFmtId="1" fontId="0" fillId="0" borderId="0" xfId="0" applyNumberForma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0" fillId="5" borderId="1" xfId="0" applyNumberForma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vertical="center"/>
    </xf>
    <xf numFmtId="1" fontId="1" fillId="5" borderId="16" xfId="0" applyNumberFormat="1" applyFont="1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1" fillId="5" borderId="6" xfId="0" applyNumberFormat="1" applyFont="1" applyFill="1" applyBorder="1" applyAlignment="1" applyProtection="1">
      <alignment horizontal="center" vertical="center"/>
    </xf>
    <xf numFmtId="3" fontId="1" fillId="5" borderId="16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7" fillId="0" borderId="0" xfId="0" applyFont="1" applyAlignment="1" applyProtection="1">
      <alignment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17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</xf>
    <xf numFmtId="0" fontId="1" fillId="0" borderId="21" xfId="0" applyFont="1" applyFill="1" applyBorder="1" applyAlignment="1" applyProtection="1">
      <alignment horizontal="left"/>
    </xf>
    <xf numFmtId="0" fontId="3" fillId="0" borderId="38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17" fillId="0" borderId="3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21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3" fontId="5" fillId="3" borderId="32" xfId="0" applyNumberFormat="1" applyFont="1" applyFill="1" applyBorder="1" applyAlignment="1" applyProtection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9" fontId="0" fillId="4" borderId="29" xfId="0" applyNumberFormat="1" applyFill="1" applyBorder="1" applyAlignment="1" applyProtection="1">
      <alignment horizontal="center" vertical="center" wrapText="1"/>
    </xf>
    <xf numFmtId="9" fontId="0" fillId="4" borderId="24" xfId="0" applyNumberFormat="1" applyFill="1" applyBorder="1" applyAlignment="1" applyProtection="1">
      <alignment horizontal="center" vertical="center" wrapText="1"/>
    </xf>
    <xf numFmtId="3" fontId="0" fillId="3" borderId="29" xfId="0" applyNumberFormat="1" applyFill="1" applyBorder="1" applyAlignment="1" applyProtection="1">
      <alignment horizontal="center" vertical="center"/>
    </xf>
    <xf numFmtId="3" fontId="0" fillId="3" borderId="24" xfId="0" applyNumberFormat="1" applyFill="1" applyBorder="1" applyAlignment="1" applyProtection="1">
      <alignment horizontal="center" vertical="center"/>
    </xf>
    <xf numFmtId="1" fontId="0" fillId="3" borderId="29" xfId="0" applyNumberFormat="1" applyFill="1" applyBorder="1" applyAlignment="1" applyProtection="1">
      <alignment horizontal="center" vertical="center"/>
    </xf>
    <xf numFmtId="1" fontId="0" fillId="3" borderId="24" xfId="0" applyNumberFormat="1" applyFill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right"/>
    </xf>
    <xf numFmtId="1" fontId="3" fillId="0" borderId="35" xfId="0" applyNumberFormat="1" applyFont="1" applyBorder="1" applyAlignment="1" applyProtection="1">
      <alignment horizontal="right"/>
    </xf>
    <xf numFmtId="1" fontId="3" fillId="0" borderId="21" xfId="0" applyNumberFormat="1" applyFont="1" applyBorder="1" applyAlignment="1" applyProtection="1">
      <alignment horizontal="right"/>
    </xf>
    <xf numFmtId="0" fontId="0" fillId="5" borderId="33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1" fontId="1" fillId="2" borderId="3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3" fontId="5" fillId="3" borderId="29" xfId="0" applyNumberFormat="1" applyFont="1" applyFill="1" applyBorder="1" applyAlignment="1" applyProtection="1">
      <alignment horizontal="center" vertical="center"/>
    </xf>
    <xf numFmtId="3" fontId="5" fillId="3" borderId="24" xfId="0" applyNumberFormat="1" applyFont="1" applyFill="1" applyBorder="1" applyAlignment="1" applyProtection="1">
      <alignment horizontal="center" vertical="center"/>
    </xf>
    <xf numFmtId="3" fontId="0" fillId="5" borderId="30" xfId="0" applyNumberFormat="1" applyFill="1" applyBorder="1" applyAlignment="1" applyProtection="1">
      <alignment horizontal="center" vertical="center"/>
    </xf>
    <xf numFmtId="3" fontId="0" fillId="5" borderId="31" xfId="0" applyNumberForma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3" fontId="0" fillId="2" borderId="29" xfId="0" applyNumberFormat="1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  <protection locked="0"/>
    </xf>
    <xf numFmtId="9" fontId="0" fillId="2" borderId="29" xfId="0" applyNumberFormat="1" applyFill="1" applyBorder="1" applyAlignment="1" applyProtection="1">
      <alignment horizontal="center" vertical="center" wrapText="1"/>
      <protection locked="0"/>
    </xf>
    <xf numFmtId="9" fontId="0" fillId="2" borderId="24" xfId="0" applyNumberForma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</xf>
    <xf numFmtId="3" fontId="0" fillId="6" borderId="30" xfId="0" applyNumberFormat="1" applyFill="1" applyBorder="1" applyAlignment="1" applyProtection="1">
      <alignment horizontal="center" vertical="center"/>
      <protection locked="0"/>
    </xf>
    <xf numFmtId="3" fontId="0" fillId="6" borderId="31" xfId="0" applyNumberForma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9" xfId="0" applyNumberFormat="1" applyFont="1" applyBorder="1" applyAlignment="1" applyProtection="1">
      <alignment horizontal="center" vertical="center" wrapText="1"/>
    </xf>
    <xf numFmtId="3" fontId="3" fillId="0" borderId="24" xfId="0" applyNumberFormat="1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1" fontId="3" fillId="0" borderId="29" xfId="0" applyNumberFormat="1" applyFont="1" applyFill="1" applyBorder="1" applyAlignment="1" applyProtection="1">
      <alignment horizontal="center" vertical="center" wrapText="1"/>
    </xf>
    <xf numFmtId="1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left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3" fontId="3" fillId="0" borderId="32" xfId="0" applyNumberFormat="1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/>
    </xf>
    <xf numFmtId="1" fontId="3" fillId="0" borderId="8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1" fillId="5" borderId="19" xfId="0" quotePrefix="1" applyNumberFormat="1" applyFon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3" fontId="1" fillId="2" borderId="32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3" fontId="5" fillId="3" borderId="41" xfId="0" applyNumberFormat="1" applyFont="1" applyFill="1" applyBorder="1" applyAlignment="1" applyProtection="1">
      <alignment horizontal="center" vertical="center"/>
    </xf>
    <xf numFmtId="9" fontId="0" fillId="4" borderId="18" xfId="0" applyNumberFormat="1" applyFill="1" applyBorder="1" applyAlignment="1" applyProtection="1">
      <alignment horizontal="center" vertical="center" wrapText="1"/>
    </xf>
    <xf numFmtId="3" fontId="0" fillId="3" borderId="18" xfId="0" applyNumberFormat="1" applyFill="1" applyBorder="1" applyAlignment="1" applyProtection="1">
      <alignment horizontal="center" vertical="center"/>
    </xf>
    <xf numFmtId="1" fontId="0" fillId="3" borderId="18" xfId="0" applyNumberFormat="1" applyFill="1" applyBorder="1" applyAlignment="1" applyProtection="1">
      <alignment horizontal="center" vertical="center"/>
    </xf>
    <xf numFmtId="3" fontId="0" fillId="2" borderId="18" xfId="0" applyNumberFormat="1" applyFill="1" applyBorder="1" applyAlignment="1" applyProtection="1">
      <alignment horizontal="center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right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right"/>
    </xf>
    <xf numFmtId="0" fontId="3" fillId="0" borderId="35" xfId="0" applyFont="1" applyFill="1" applyBorder="1" applyAlignment="1" applyProtection="1">
      <alignment horizontal="right"/>
    </xf>
    <xf numFmtId="0" fontId="3" fillId="0" borderId="21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center" wrapText="1"/>
    </xf>
    <xf numFmtId="0" fontId="5" fillId="0" borderId="26" xfId="0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horizontal="center" wrapText="1"/>
    </xf>
    <xf numFmtId="0" fontId="5" fillId="0" borderId="36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</cellXfs>
  <cellStyles count="1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U90"/>
  <sheetViews>
    <sheetView tabSelected="1" workbookViewId="0">
      <selection activeCell="B1" sqref="B1:I1"/>
    </sheetView>
  </sheetViews>
  <sheetFormatPr defaultColWidth="8.85546875" defaultRowHeight="12.75"/>
  <cols>
    <col min="1" max="1" width="2.5703125" style="2" customWidth="1"/>
    <col min="2" max="2" width="20.5703125" style="2" customWidth="1"/>
    <col min="3" max="3" width="23.85546875" style="2" customWidth="1"/>
    <col min="4" max="4" width="27" style="2" customWidth="1"/>
    <col min="5" max="5" width="27" style="2" bestFit="1" customWidth="1"/>
    <col min="6" max="6" width="4.42578125" style="2" customWidth="1"/>
    <col min="7" max="7" width="19.140625" style="2" customWidth="1"/>
    <col min="8" max="8" width="11.140625" style="2" customWidth="1"/>
    <col min="9" max="9" width="20.42578125" style="3" bestFit="1" customWidth="1"/>
    <col min="10" max="10" width="8.85546875" style="2"/>
    <col min="11" max="11" width="10.42578125" style="3" bestFit="1" customWidth="1"/>
    <col min="12" max="12" width="34" style="4" customWidth="1"/>
    <col min="13" max="16384" width="8.85546875" style="2"/>
  </cols>
  <sheetData>
    <row r="1" spans="2:12" ht="18.75" customHeight="1">
      <c r="B1" s="283" t="s">
        <v>215</v>
      </c>
      <c r="C1" s="283"/>
      <c r="D1" s="283"/>
      <c r="E1" s="283"/>
      <c r="F1" s="283"/>
      <c r="G1" s="283"/>
      <c r="H1" s="283"/>
      <c r="I1" s="283"/>
    </row>
    <row r="2" spans="2:12" ht="10.5" customHeight="1">
      <c r="B2" s="63"/>
      <c r="C2" s="49"/>
      <c r="D2" s="49"/>
      <c r="E2" s="49"/>
      <c r="F2" s="49"/>
    </row>
    <row r="3" spans="2:12" ht="15" customHeight="1">
      <c r="B3" s="8"/>
      <c r="C3" s="9" t="s">
        <v>0</v>
      </c>
      <c r="D3" s="49"/>
      <c r="E3" s="49"/>
      <c r="F3" s="49"/>
    </row>
    <row r="4" spans="2:12" ht="15" customHeight="1">
      <c r="B4" s="10"/>
      <c r="C4" s="9" t="s">
        <v>1</v>
      </c>
      <c r="D4" s="49"/>
      <c r="E4" s="49"/>
      <c r="F4" s="49"/>
    </row>
    <row r="5" spans="2:12" ht="15" customHeight="1">
      <c r="B5" s="11"/>
      <c r="C5" s="9" t="s">
        <v>2</v>
      </c>
      <c r="D5" s="49"/>
      <c r="E5" s="49"/>
      <c r="F5" s="49"/>
    </row>
    <row r="6" spans="2:12" ht="9.75" customHeight="1">
      <c r="B6" s="72"/>
      <c r="C6" s="9"/>
      <c r="D6" s="49"/>
      <c r="E6" s="49"/>
      <c r="F6" s="49"/>
    </row>
    <row r="7" spans="2:12" ht="18">
      <c r="B7" s="5" t="s">
        <v>5</v>
      </c>
      <c r="E7" s="1"/>
      <c r="F7" s="1"/>
    </row>
    <row r="8" spans="2:12" ht="9.75" customHeight="1">
      <c r="B8" s="5"/>
      <c r="E8" s="1"/>
      <c r="F8" s="1"/>
    </row>
    <row r="9" spans="2:12" ht="15.75">
      <c r="B9" s="6" t="s">
        <v>4</v>
      </c>
      <c r="C9" s="284"/>
      <c r="D9" s="284"/>
      <c r="E9" s="284"/>
      <c r="F9" s="284"/>
      <c r="G9" s="284"/>
      <c r="H9" s="31"/>
      <c r="I9" s="31"/>
    </row>
    <row r="10" spans="2:12" ht="9.75" customHeight="1">
      <c r="B10" s="6"/>
      <c r="C10" s="211"/>
      <c r="D10" s="211"/>
      <c r="E10" s="211"/>
      <c r="F10" s="211"/>
      <c r="G10" s="211"/>
      <c r="H10" s="31"/>
      <c r="I10" s="31"/>
    </row>
    <row r="11" spans="2:12">
      <c r="B11" s="7"/>
    </row>
    <row r="12" spans="2:12" ht="15">
      <c r="C12" s="286" t="s">
        <v>19</v>
      </c>
      <c r="D12" s="286"/>
      <c r="E12" s="286"/>
    </row>
    <row r="13" spans="2:12">
      <c r="C13" s="287" t="s">
        <v>194</v>
      </c>
      <c r="D13" s="288"/>
      <c r="E13" s="66" t="s">
        <v>16</v>
      </c>
    </row>
    <row r="14" spans="2:12">
      <c r="C14" s="289" t="s">
        <v>90</v>
      </c>
      <c r="D14" s="288"/>
      <c r="E14" s="66" t="s">
        <v>16</v>
      </c>
    </row>
    <row r="15" spans="2:12">
      <c r="C15" s="289" t="s">
        <v>106</v>
      </c>
      <c r="D15" s="288"/>
      <c r="E15" s="66" t="s">
        <v>107</v>
      </c>
      <c r="J15" s="28"/>
      <c r="K15" s="144"/>
      <c r="L15" s="119"/>
    </row>
    <row r="16" spans="2:12">
      <c r="C16" s="289" t="s">
        <v>115</v>
      </c>
      <c r="D16" s="288"/>
      <c r="E16" s="97">
        <f>IF(AND(E13="Yes",E15="Major Substantial Improvement"),1,IF(AND(E13="No",E15="Major Substantial Improvement"),0.8,1.2))</f>
        <v>1.2</v>
      </c>
    </row>
    <row r="17" spans="2:12">
      <c r="C17" s="289" t="s">
        <v>116</v>
      </c>
      <c r="D17" s="288"/>
      <c r="E17" s="97" t="str">
        <f>IF(E13="Yes",1.7,"NA")</f>
        <v>NA</v>
      </c>
      <c r="J17" s="285"/>
      <c r="K17" s="285"/>
      <c r="L17" s="40"/>
    </row>
    <row r="18" spans="2:12">
      <c r="B18" s="28"/>
      <c r="C18" s="28"/>
      <c r="D18" s="23"/>
      <c r="E18" s="23"/>
      <c r="F18" s="23"/>
      <c r="G18" s="14"/>
      <c r="J18" s="40"/>
      <c r="K18" s="39"/>
      <c r="L18" s="39"/>
    </row>
    <row r="19" spans="2:12" ht="15">
      <c r="C19" s="278" t="s">
        <v>26</v>
      </c>
      <c r="D19" s="278"/>
      <c r="E19" s="278"/>
    </row>
    <row r="20" spans="2:12">
      <c r="C20" s="205"/>
      <c r="D20" s="39" t="s">
        <v>118</v>
      </c>
      <c r="E20" s="209" t="s">
        <v>109</v>
      </c>
    </row>
    <row r="21" spans="2:12">
      <c r="C21" s="87" t="s">
        <v>33</v>
      </c>
      <c r="D21" s="19" t="s">
        <v>58</v>
      </c>
      <c r="E21" s="207" t="s">
        <v>58</v>
      </c>
      <c r="H21" s="3"/>
      <c r="I21" s="2"/>
      <c r="K21" s="2"/>
      <c r="L21" s="2"/>
    </row>
    <row r="22" spans="2:12">
      <c r="C22" s="96" t="s">
        <v>25</v>
      </c>
      <c r="D22" s="169"/>
      <c r="E22" s="169"/>
      <c r="H22" s="3"/>
      <c r="I22" s="2"/>
      <c r="K22" s="2"/>
      <c r="L22" s="2"/>
    </row>
    <row r="23" spans="2:12">
      <c r="C23" s="204" t="s">
        <v>32</v>
      </c>
      <c r="D23" s="169"/>
      <c r="E23" s="169"/>
      <c r="H23" s="3"/>
      <c r="I23" s="2"/>
      <c r="K23" s="2"/>
      <c r="L23" s="2"/>
    </row>
    <row r="24" spans="2:12">
      <c r="C24" s="176" t="s">
        <v>13</v>
      </c>
      <c r="D24" s="169"/>
      <c r="E24" s="169"/>
      <c r="H24" s="3"/>
      <c r="I24" s="2"/>
      <c r="K24" s="2"/>
      <c r="L24" s="2"/>
    </row>
    <row r="25" spans="2:12">
      <c r="C25" s="99" t="s">
        <v>85</v>
      </c>
      <c r="D25" s="169"/>
      <c r="E25" s="169"/>
      <c r="H25" s="3"/>
      <c r="I25" s="2"/>
      <c r="K25" s="2"/>
      <c r="L25" s="2"/>
    </row>
    <row r="26" spans="2:12">
      <c r="C26" s="99" t="s">
        <v>61</v>
      </c>
      <c r="D26" s="137">
        <f>SUM(D22:D25)</f>
        <v>0</v>
      </c>
      <c r="E26" s="137">
        <f>SUM(E22:E25)</f>
        <v>0</v>
      </c>
      <c r="H26" s="3"/>
      <c r="I26" s="2"/>
      <c r="K26" s="2"/>
      <c r="L26" s="2"/>
    </row>
    <row r="27" spans="2:12">
      <c r="D27" s="13"/>
      <c r="E27" s="14"/>
      <c r="H27" s="3"/>
      <c r="I27" s="2"/>
      <c r="K27" s="2"/>
      <c r="L27" s="2"/>
    </row>
    <row r="28" spans="2:12" ht="15">
      <c r="C28" s="279" t="s">
        <v>14</v>
      </c>
      <c r="D28" s="279"/>
      <c r="E28" s="279"/>
      <c r="I28" s="2"/>
      <c r="K28" s="2"/>
      <c r="L28" s="2"/>
    </row>
    <row r="29" spans="2:12">
      <c r="D29" s="39" t="s">
        <v>118</v>
      </c>
      <c r="E29" s="209" t="s">
        <v>109</v>
      </c>
      <c r="F29" s="68"/>
      <c r="G29" s="282" t="s">
        <v>12</v>
      </c>
      <c r="H29" s="282"/>
      <c r="I29" s="2"/>
      <c r="K29" s="2"/>
      <c r="L29" s="2"/>
    </row>
    <row r="30" spans="2:12">
      <c r="C30" s="120" t="s">
        <v>22</v>
      </c>
      <c r="D30" s="100">
        <f>IFERROR(D22/D26,0)</f>
        <v>0</v>
      </c>
      <c r="E30" s="100">
        <f>IFERROR(E22/E26,0)</f>
        <v>0</v>
      </c>
      <c r="F30" s="68"/>
      <c r="G30" s="18" t="s">
        <v>10</v>
      </c>
      <c r="H30" s="19" t="s">
        <v>20</v>
      </c>
      <c r="I30" s="2"/>
      <c r="K30" s="2"/>
      <c r="L30" s="2"/>
    </row>
    <row r="31" spans="2:12" s="23" customFormat="1">
      <c r="C31" s="210" t="s">
        <v>119</v>
      </c>
      <c r="D31" s="100">
        <f>IFERROR(D23/D26,0)</f>
        <v>0</v>
      </c>
      <c r="E31" s="100">
        <f>IFERROR(E23/E26,0)</f>
        <v>0</v>
      </c>
      <c r="F31" s="68"/>
      <c r="G31" s="78" t="s">
        <v>25</v>
      </c>
      <c r="H31" s="71">
        <v>0</v>
      </c>
    </row>
    <row r="32" spans="2:12">
      <c r="C32" s="120" t="s">
        <v>23</v>
      </c>
      <c r="D32" s="100">
        <f>IFERROR(SUM(D24:D25)/D26,0)</f>
        <v>0</v>
      </c>
      <c r="E32" s="100">
        <f>IFERROR(SUM(E24:E25)/E26,0)</f>
        <v>0</v>
      </c>
      <c r="F32" s="68"/>
      <c r="G32" s="46" t="s">
        <v>32</v>
      </c>
      <c r="H32" s="71">
        <v>0.25</v>
      </c>
      <c r="I32" s="2"/>
    </row>
    <row r="33" spans="2:12">
      <c r="C33" s="117" t="s">
        <v>15</v>
      </c>
      <c r="D33" s="101">
        <f>$H$31*D30+$H$32*D31+$H$33*D32</f>
        <v>0</v>
      </c>
      <c r="E33" s="101">
        <f>$H$31*E30+$H$32*E31+$H$33*E32</f>
        <v>0</v>
      </c>
      <c r="F33" s="118"/>
      <c r="G33" s="46" t="s">
        <v>13</v>
      </c>
      <c r="H33" s="71">
        <v>0.95</v>
      </c>
      <c r="I33" s="4"/>
      <c r="K33" s="2"/>
      <c r="L33" s="2"/>
    </row>
    <row r="34" spans="2:12">
      <c r="C34" s="83"/>
      <c r="D34" s="72"/>
      <c r="E34" s="72"/>
      <c r="F34" s="118"/>
      <c r="I34" s="4"/>
      <c r="K34" s="2"/>
      <c r="L34" s="2"/>
    </row>
    <row r="35" spans="2:12" ht="15">
      <c r="C35" s="279" t="s">
        <v>120</v>
      </c>
      <c r="D35" s="279"/>
      <c r="E35" s="279"/>
      <c r="F35" s="118"/>
      <c r="I35" s="4"/>
      <c r="K35" s="2"/>
      <c r="L35" s="2"/>
    </row>
    <row r="36" spans="2:12">
      <c r="B36" s="83"/>
      <c r="D36" s="39" t="s">
        <v>118</v>
      </c>
      <c r="E36" s="209" t="s">
        <v>109</v>
      </c>
      <c r="F36" s="23"/>
      <c r="G36" s="14"/>
    </row>
    <row r="37" spans="2:12">
      <c r="B37" s="280" t="s">
        <v>52</v>
      </c>
      <c r="C37" s="281"/>
      <c r="D37" s="67">
        <f>$E$16/12*D33*D26</f>
        <v>0</v>
      </c>
      <c r="E37" s="67">
        <f>$E$16/12*E33*E26</f>
        <v>0</v>
      </c>
      <c r="F37" s="23"/>
      <c r="G37" s="14"/>
      <c r="J37" s="28"/>
      <c r="K37" s="144"/>
      <c r="L37" s="119"/>
    </row>
    <row r="38" spans="2:12">
      <c r="B38" s="280" t="s">
        <v>86</v>
      </c>
      <c r="C38" s="281"/>
      <c r="D38" s="208">
        <f>D37*7.48</f>
        <v>0</v>
      </c>
      <c r="E38" s="208">
        <f>E37*7.48</f>
        <v>0</v>
      </c>
      <c r="F38" s="23"/>
      <c r="G38" s="14"/>
      <c r="J38" s="28"/>
      <c r="K38" s="144"/>
      <c r="L38" s="119"/>
    </row>
    <row r="39" spans="2:12">
      <c r="B39" s="280" t="s">
        <v>114</v>
      </c>
      <c r="C39" s="281"/>
      <c r="D39" s="67" t="str">
        <f>IF($E$13="Yes",1.7/12*D26*D33-D37,"NA")</f>
        <v>NA</v>
      </c>
      <c r="E39" s="67" t="str">
        <f>IF($E$13="Yes",1.7/12*E26*E33-E37,"NA")</f>
        <v>NA</v>
      </c>
      <c r="F39" s="23"/>
      <c r="G39" s="14"/>
      <c r="J39" s="28"/>
      <c r="K39" s="144"/>
      <c r="L39" s="119"/>
    </row>
    <row r="40" spans="2:12">
      <c r="B40" s="280" t="s">
        <v>117</v>
      </c>
      <c r="C40" s="281"/>
      <c r="D40" s="67" t="str">
        <f>IF(D39="NA","NA",D39*7.48)</f>
        <v>NA</v>
      </c>
      <c r="E40" s="67" t="str">
        <f>IF(E39="NA","NA",E39*7.48)</f>
        <v>NA</v>
      </c>
      <c r="F40" s="23"/>
      <c r="G40" s="14"/>
      <c r="J40" s="28"/>
      <c r="K40" s="144"/>
      <c r="L40" s="119"/>
    </row>
    <row r="41" spans="2:12">
      <c r="B41" s="206"/>
      <c r="C41" s="206"/>
      <c r="D41" s="206"/>
      <c r="E41" s="23"/>
      <c r="F41" s="23"/>
      <c r="G41" s="14"/>
      <c r="J41" s="28"/>
      <c r="K41" s="144"/>
      <c r="L41" s="119"/>
    </row>
    <row r="42" spans="2:12" ht="12.75" hidden="1" customHeight="1">
      <c r="B42" s="60"/>
      <c r="C42" s="14"/>
      <c r="D42" s="9" t="s">
        <v>31</v>
      </c>
      <c r="F42" s="277"/>
      <c r="G42" s="277"/>
      <c r="H42" s="121"/>
      <c r="J42" s="28"/>
      <c r="K42" s="145"/>
      <c r="L42" s="28"/>
    </row>
    <row r="43" spans="2:12" hidden="1">
      <c r="B43" s="17"/>
      <c r="C43" s="69"/>
      <c r="D43" s="179" t="s">
        <v>16</v>
      </c>
      <c r="F43" s="185"/>
      <c r="G43" s="185"/>
      <c r="H43" s="121"/>
      <c r="J43" s="28"/>
      <c r="K43" s="145"/>
      <c r="L43" s="28"/>
    </row>
    <row r="44" spans="2:12" hidden="1">
      <c r="B44" s="20"/>
      <c r="C44" s="43"/>
      <c r="D44" s="179" t="s">
        <v>107</v>
      </c>
      <c r="F44" s="277"/>
      <c r="G44" s="277"/>
      <c r="H44" s="122"/>
      <c r="J44" s="40"/>
      <c r="K44" s="51"/>
      <c r="L44" s="39"/>
    </row>
    <row r="45" spans="2:12" hidden="1">
      <c r="B45" s="21"/>
      <c r="C45" s="61"/>
      <c r="D45" s="179" t="s">
        <v>108</v>
      </c>
      <c r="E45" s="15"/>
      <c r="F45"/>
      <c r="G45"/>
      <c r="H45"/>
      <c r="J45" s="28"/>
      <c r="K45" s="144"/>
      <c r="L45" s="119"/>
    </row>
    <row r="46" spans="2:12">
      <c r="B46" s="20"/>
      <c r="C46" s="69"/>
      <c r="D46" s="244"/>
      <c r="E46" s="16"/>
      <c r="F46"/>
      <c r="G46"/>
      <c r="H46"/>
      <c r="I46" s="58"/>
      <c r="J46" s="23"/>
      <c r="K46" s="144"/>
      <c r="L46" s="119"/>
    </row>
    <row r="47" spans="2:12">
      <c r="B47" s="20"/>
      <c r="C47" s="69"/>
      <c r="D47" s="69"/>
      <c r="E47" s="69"/>
      <c r="F47" s="69"/>
      <c r="G47" s="25"/>
      <c r="H47" s="23"/>
      <c r="I47" s="4"/>
      <c r="K47" s="23"/>
    </row>
    <row r="48" spans="2:12" hidden="1">
      <c r="B48" s="20"/>
      <c r="C48" s="69"/>
      <c r="D48" s="69"/>
      <c r="E48" s="14"/>
      <c r="F48" s="14"/>
      <c r="G48" s="16"/>
      <c r="K48" s="2"/>
    </row>
    <row r="49" spans="2:21" hidden="1">
      <c r="B49" s="23"/>
      <c r="C49" s="23"/>
      <c r="D49" s="23"/>
      <c r="E49" s="69"/>
      <c r="F49" s="69"/>
      <c r="G49" s="16"/>
      <c r="K49" s="2"/>
    </row>
    <row r="50" spans="2:21" hidden="1">
      <c r="B50" s="23"/>
      <c r="C50" s="23"/>
      <c r="D50" s="23"/>
      <c r="E50" s="69"/>
      <c r="F50" s="69"/>
      <c r="G50" s="16"/>
      <c r="K50" s="2"/>
      <c r="L50" s="3"/>
      <c r="N50" s="3"/>
      <c r="O50" s="3"/>
      <c r="P50" s="3"/>
      <c r="Q50" s="3"/>
      <c r="R50" s="3"/>
      <c r="S50" s="3"/>
      <c r="U50" s="4"/>
    </row>
    <row r="51" spans="2:21" hidden="1">
      <c r="B51" s="23"/>
      <c r="C51" s="23"/>
      <c r="D51" s="23"/>
      <c r="E51" s="69"/>
      <c r="F51" s="69"/>
      <c r="G51" s="16"/>
      <c r="K51" s="2"/>
    </row>
    <row r="52" spans="2:21">
      <c r="B52" s="23"/>
      <c r="C52" s="23"/>
      <c r="D52" s="23"/>
      <c r="E52" s="69"/>
      <c r="F52" s="69"/>
      <c r="G52" s="16"/>
      <c r="K52" s="2"/>
    </row>
    <row r="53" spans="2:21">
      <c r="B53" s="23"/>
      <c r="C53" s="23"/>
      <c r="D53" s="23"/>
      <c r="E53" s="69"/>
      <c r="F53" s="25"/>
      <c r="G53" s="16"/>
      <c r="K53" s="2"/>
    </row>
    <row r="54" spans="2:21" ht="18">
      <c r="B54" s="73"/>
      <c r="C54" s="69"/>
      <c r="D54" s="69"/>
      <c r="E54" s="69"/>
      <c r="F54" s="25"/>
      <c r="G54" s="16"/>
      <c r="K54" s="2"/>
    </row>
    <row r="55" spans="2:21">
      <c r="B55" s="17"/>
      <c r="C55" s="69"/>
      <c r="D55" s="69"/>
      <c r="E55" s="23"/>
      <c r="F55" s="23"/>
      <c r="G55" s="16"/>
      <c r="K55" s="2"/>
    </row>
    <row r="56" spans="2:21">
      <c r="B56" s="17"/>
      <c r="C56" s="69"/>
      <c r="D56" s="69"/>
      <c r="E56" s="23"/>
      <c r="F56" s="23"/>
      <c r="G56" s="16"/>
      <c r="K56" s="2"/>
    </row>
    <row r="57" spans="2:21">
      <c r="B57" s="20"/>
      <c r="C57" s="15"/>
      <c r="D57" s="15"/>
      <c r="E57" s="23"/>
      <c r="F57" s="23"/>
      <c r="G57" s="16"/>
      <c r="K57" s="2"/>
    </row>
    <row r="58" spans="2:21">
      <c r="B58" s="20"/>
      <c r="C58" s="16"/>
      <c r="D58" s="16"/>
      <c r="E58" s="23"/>
      <c r="F58" s="23"/>
      <c r="G58" s="16"/>
      <c r="K58" s="2"/>
    </row>
    <row r="59" spans="2:21">
      <c r="B59" s="20"/>
      <c r="C59" s="69"/>
      <c r="D59" s="69"/>
      <c r="E59" s="23"/>
      <c r="F59" s="23"/>
      <c r="G59" s="16"/>
      <c r="K59" s="2"/>
    </row>
    <row r="60" spans="2:21">
      <c r="B60" s="23"/>
      <c r="C60" s="69"/>
      <c r="D60" s="69"/>
      <c r="E60" s="69"/>
      <c r="F60" s="69"/>
      <c r="G60" s="16"/>
      <c r="H60" s="14"/>
      <c r="I60" s="48"/>
      <c r="K60" s="14"/>
    </row>
    <row r="61" spans="2:21">
      <c r="B61" s="20"/>
      <c r="C61" s="69"/>
      <c r="D61" s="69"/>
      <c r="E61" s="69"/>
      <c r="F61" s="69"/>
      <c r="G61" s="16"/>
      <c r="H61" s="14"/>
      <c r="I61" s="48"/>
      <c r="K61" s="14"/>
    </row>
    <row r="62" spans="2:21">
      <c r="B62" s="17"/>
      <c r="C62" s="69"/>
      <c r="D62" s="15"/>
      <c r="E62" s="69"/>
      <c r="F62" s="69"/>
      <c r="G62" s="16"/>
      <c r="H62" s="14"/>
      <c r="I62" s="48"/>
      <c r="K62" s="14"/>
    </row>
    <row r="63" spans="2:21">
      <c r="B63" s="17"/>
      <c r="C63" s="15"/>
      <c r="D63" s="15"/>
      <c r="E63" s="15"/>
      <c r="F63" s="15"/>
      <c r="G63" s="15"/>
      <c r="H63" s="14"/>
      <c r="I63" s="48"/>
      <c r="K63" s="14"/>
    </row>
    <row r="64" spans="2:21">
      <c r="B64" s="68"/>
      <c r="C64" s="43"/>
      <c r="D64" s="43"/>
      <c r="E64" s="16"/>
      <c r="F64" s="16"/>
      <c r="G64" s="43"/>
      <c r="H64" s="14"/>
      <c r="I64" s="48"/>
      <c r="K64" s="14"/>
      <c r="L64" s="2"/>
    </row>
    <row r="65" spans="2:12">
      <c r="B65" s="68"/>
      <c r="C65" s="43"/>
      <c r="D65" s="43"/>
      <c r="E65" s="69"/>
      <c r="F65" s="69"/>
      <c r="G65" s="16"/>
      <c r="H65" s="14"/>
      <c r="I65" s="48"/>
      <c r="K65" s="14"/>
      <c r="L65" s="2"/>
    </row>
    <row r="66" spans="2:12">
      <c r="B66" s="68"/>
      <c r="C66" s="43"/>
      <c r="D66" s="43"/>
      <c r="E66" s="69"/>
      <c r="F66" s="69"/>
      <c r="G66" s="16"/>
      <c r="H66" s="14"/>
      <c r="I66" s="48"/>
      <c r="K66" s="14"/>
      <c r="L66" s="2"/>
    </row>
    <row r="67" spans="2:12">
      <c r="B67" s="68"/>
      <c r="C67" s="43"/>
      <c r="D67" s="43"/>
      <c r="E67" s="69"/>
      <c r="F67" s="69"/>
      <c r="G67" s="16"/>
      <c r="H67" s="14"/>
      <c r="I67" s="48"/>
      <c r="K67" s="14"/>
      <c r="L67" s="2"/>
    </row>
    <row r="68" spans="2:12">
      <c r="B68" s="17"/>
      <c r="C68" s="69"/>
      <c r="D68" s="70"/>
      <c r="E68" s="69"/>
      <c r="F68" s="69"/>
      <c r="G68" s="69"/>
      <c r="H68" s="14"/>
      <c r="I68" s="48"/>
      <c r="K68" s="14"/>
      <c r="L68" s="2"/>
    </row>
    <row r="69" spans="2:12">
      <c r="B69" s="20"/>
      <c r="C69" s="69"/>
      <c r="D69" s="69"/>
      <c r="E69" s="15"/>
      <c r="F69" s="15"/>
      <c r="G69" s="15"/>
      <c r="H69" s="14"/>
      <c r="I69" s="48"/>
      <c r="K69" s="14"/>
      <c r="L69" s="2"/>
    </row>
    <row r="70" spans="2:12">
      <c r="B70" s="23"/>
      <c r="C70" s="23"/>
      <c r="D70" s="23"/>
      <c r="E70" s="43"/>
      <c r="F70" s="43"/>
      <c r="G70" s="43"/>
      <c r="H70" s="14"/>
      <c r="I70" s="48"/>
      <c r="K70" s="14"/>
      <c r="L70" s="2"/>
    </row>
    <row r="71" spans="2:12">
      <c r="B71" s="15"/>
      <c r="C71" s="23"/>
      <c r="D71" s="23"/>
      <c r="E71" s="43"/>
      <c r="F71" s="43"/>
      <c r="G71" s="43"/>
      <c r="H71" s="14"/>
      <c r="I71" s="48"/>
      <c r="K71" s="14"/>
      <c r="L71" s="2"/>
    </row>
    <row r="72" spans="2:12">
      <c r="B72" s="23"/>
      <c r="C72" s="122"/>
      <c r="D72" s="23"/>
      <c r="E72" s="43"/>
      <c r="F72" s="43"/>
      <c r="G72" s="43"/>
      <c r="H72" s="14"/>
      <c r="I72" s="48"/>
      <c r="K72" s="14"/>
      <c r="L72" s="2"/>
    </row>
    <row r="73" spans="2:12">
      <c r="B73" s="23"/>
      <c r="C73" s="122"/>
      <c r="D73" s="23"/>
      <c r="E73" s="43"/>
      <c r="F73" s="43"/>
      <c r="G73" s="43"/>
      <c r="H73" s="14"/>
      <c r="I73" s="48"/>
      <c r="K73" s="14"/>
      <c r="L73" s="2"/>
    </row>
    <row r="74" spans="2:12">
      <c r="B74" s="74"/>
      <c r="C74" s="122"/>
      <c r="D74" s="23"/>
      <c r="E74" s="69"/>
      <c r="F74" s="15"/>
      <c r="G74" s="43"/>
      <c r="H74" s="14"/>
      <c r="I74" s="48"/>
      <c r="K74" s="14"/>
      <c r="L74" s="2"/>
    </row>
    <row r="75" spans="2:12">
      <c r="B75" s="23"/>
      <c r="C75" s="23"/>
      <c r="D75" s="23"/>
      <c r="E75" s="69"/>
      <c r="F75" s="69"/>
      <c r="G75" s="16"/>
      <c r="H75" s="14"/>
      <c r="I75" s="48"/>
      <c r="K75" s="14"/>
      <c r="L75" s="2"/>
    </row>
    <row r="76" spans="2:12">
      <c r="B76" s="23"/>
      <c r="C76" s="23"/>
      <c r="D76" s="23"/>
      <c r="E76" s="23"/>
      <c r="F76" s="23"/>
      <c r="G76" s="23"/>
      <c r="L76" s="2"/>
    </row>
    <row r="77" spans="2:12">
      <c r="B77" s="17"/>
      <c r="C77" s="51"/>
      <c r="D77" s="23"/>
      <c r="E77" s="23"/>
      <c r="F77" s="23"/>
      <c r="G77" s="23"/>
      <c r="L77" s="2"/>
    </row>
    <row r="78" spans="2:12">
      <c r="B78" s="20"/>
      <c r="C78" s="43"/>
      <c r="D78" s="23"/>
      <c r="E78" s="23"/>
      <c r="F78" s="23"/>
      <c r="G78" s="23"/>
      <c r="L78" s="2"/>
    </row>
    <row r="79" spans="2:12">
      <c r="B79" s="21"/>
      <c r="C79" s="61"/>
      <c r="D79" s="23"/>
      <c r="E79" s="23"/>
      <c r="F79" s="23"/>
      <c r="G79" s="23"/>
      <c r="L79" s="2"/>
    </row>
    <row r="80" spans="2:12">
      <c r="B80" s="23"/>
      <c r="C80" s="23"/>
      <c r="D80" s="23"/>
      <c r="E80" s="23"/>
      <c r="F80" s="23"/>
      <c r="G80" s="23"/>
      <c r="I80" s="2"/>
      <c r="K80" s="2"/>
      <c r="L80" s="2"/>
    </row>
    <row r="81" spans="2:12">
      <c r="B81" s="23"/>
      <c r="C81" s="23"/>
      <c r="D81" s="23"/>
      <c r="E81" s="23"/>
      <c r="F81" s="23"/>
      <c r="G81" s="23"/>
      <c r="I81" s="2"/>
      <c r="K81" s="2"/>
      <c r="L81" s="2"/>
    </row>
    <row r="82" spans="2:12">
      <c r="B82" s="20"/>
      <c r="C82" s="23"/>
      <c r="D82" s="23"/>
      <c r="E82" s="23"/>
      <c r="F82" s="23"/>
      <c r="G82" s="23"/>
      <c r="I82" s="2"/>
      <c r="K82" s="2"/>
      <c r="L82" s="2"/>
    </row>
    <row r="83" spans="2:12">
      <c r="B83" s="23"/>
      <c r="C83" s="23"/>
      <c r="D83" s="23"/>
      <c r="E83" s="23"/>
      <c r="F83" s="23"/>
      <c r="G83" s="23"/>
      <c r="I83" s="2"/>
      <c r="K83" s="2"/>
      <c r="L83" s="2"/>
    </row>
    <row r="84" spans="2:12">
      <c r="B84" s="23"/>
      <c r="C84" s="23"/>
      <c r="D84" s="23"/>
      <c r="E84" s="23"/>
      <c r="F84" s="23"/>
      <c r="G84" s="23"/>
      <c r="I84" s="2"/>
      <c r="K84" s="2"/>
      <c r="L84" s="2"/>
    </row>
    <row r="85" spans="2:12">
      <c r="E85" s="23"/>
      <c r="F85" s="23"/>
      <c r="G85" s="23"/>
      <c r="I85" s="2"/>
      <c r="K85" s="2"/>
      <c r="L85" s="2"/>
    </row>
    <row r="86" spans="2:12">
      <c r="E86" s="23"/>
      <c r="F86" s="23"/>
      <c r="G86" s="23"/>
      <c r="I86" s="2"/>
      <c r="K86" s="2"/>
      <c r="L86" s="2"/>
    </row>
    <row r="87" spans="2:12">
      <c r="E87" s="23"/>
      <c r="F87" s="23"/>
      <c r="G87" s="23"/>
      <c r="I87" s="2"/>
      <c r="K87" s="2"/>
      <c r="L87" s="2"/>
    </row>
    <row r="88" spans="2:12">
      <c r="E88" s="23"/>
      <c r="F88" s="23"/>
      <c r="G88" s="23"/>
      <c r="I88" s="2"/>
      <c r="K88" s="2"/>
      <c r="L88" s="2"/>
    </row>
    <row r="89" spans="2:12">
      <c r="E89" s="23"/>
      <c r="F89" s="23"/>
      <c r="G89" s="23"/>
      <c r="I89" s="2"/>
      <c r="K89" s="2"/>
      <c r="L89" s="2"/>
    </row>
    <row r="90" spans="2:12">
      <c r="E90" s="23"/>
      <c r="F90" s="23"/>
      <c r="G90" s="23"/>
      <c r="I90" s="2"/>
      <c r="K90" s="2"/>
      <c r="L90" s="2"/>
    </row>
  </sheetData>
  <sheetProtection password="C9FF" sheet="1" objects="1" scenarios="1"/>
  <mergeCells count="19">
    <mergeCell ref="B1:I1"/>
    <mergeCell ref="C9:G9"/>
    <mergeCell ref="J17:K17"/>
    <mergeCell ref="C12:E12"/>
    <mergeCell ref="C13:D13"/>
    <mergeCell ref="C14:D14"/>
    <mergeCell ref="C15:D15"/>
    <mergeCell ref="C16:D16"/>
    <mergeCell ref="C17:D17"/>
    <mergeCell ref="F42:G42"/>
    <mergeCell ref="F44:G44"/>
    <mergeCell ref="C19:E19"/>
    <mergeCell ref="C28:E28"/>
    <mergeCell ref="B38:C38"/>
    <mergeCell ref="B39:C39"/>
    <mergeCell ref="B40:C40"/>
    <mergeCell ref="G29:H29"/>
    <mergeCell ref="B37:C37"/>
    <mergeCell ref="C35:E35"/>
  </mergeCells>
  <phoneticPr fontId="2" type="noConversion"/>
  <dataValidations disablePrompts="1" count="3">
    <dataValidation type="list" allowBlank="1" showInputMessage="1" showErrorMessage="1" sqref="E14">
      <formula1>$D$42:$D$43</formula1>
    </dataValidation>
    <dataValidation type="list" allowBlank="1" showErrorMessage="1" sqref="E13">
      <formula1>$D$42:$D$43</formula1>
    </dataValidation>
    <dataValidation type="list" allowBlank="1" showInputMessage="1" showErrorMessage="1" sqref="E15">
      <formula1>$D$44:$D$45</formula1>
    </dataValidation>
  </dataValidations>
  <printOptions gridLines="1"/>
  <pageMargins left="0.75" right="0.75" top="1" bottom="1" header="0.5" footer="0.5"/>
  <pageSetup scale="90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Q294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70" t="s">
        <v>197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85" t="s">
        <v>202</v>
      </c>
      <c r="B4" s="2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72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23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76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75" t="s">
        <v>10</v>
      </c>
      <c r="B14" s="272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61" t="s">
        <v>114</v>
      </c>
      <c r="E17" s="361"/>
      <c r="F17" s="361"/>
      <c r="G17" s="67" t="str">
        <f>IF('Site Data'!E13="Yes",1.7/12*F9*B11-G12,"NA")</f>
        <v>NA</v>
      </c>
      <c r="H17" s="49"/>
    </row>
    <row r="18" spans="1:43">
      <c r="B18" s="2"/>
      <c r="C18"/>
      <c r="D18" s="361" t="s">
        <v>117</v>
      </c>
      <c r="E18" s="361"/>
      <c r="F18" s="361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137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376">
        <f>1.7/12*('Site Data'!$H$31*B23+'Site Data'!$H$32*B24+'Site Data'!$H$33*SUM(D23:D24))</f>
        <v>0</v>
      </c>
      <c r="I23" s="336" t="s">
        <v>35</v>
      </c>
      <c r="J23" s="337"/>
      <c r="K23" s="377">
        <v>1</v>
      </c>
      <c r="L23" s="378">
        <f>W67</f>
        <v>0</v>
      </c>
      <c r="M23" s="378">
        <f>H23+L23</f>
        <v>0</v>
      </c>
      <c r="N23" s="379" t="s">
        <v>11</v>
      </c>
      <c r="O23" s="380"/>
      <c r="P23" s="381">
        <f>IF(O23*K23&lt;=M23,O23*K23,M23)</f>
        <v>0</v>
      </c>
      <c r="Q23" s="378">
        <f>M23-P23</f>
        <v>0</v>
      </c>
      <c r="R23" s="379" t="s">
        <v>11</v>
      </c>
      <c r="S23" s="371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137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75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67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70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68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75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70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68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75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70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68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75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70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68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75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70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3.5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75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70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3.5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75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70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3.5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75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70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3.5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75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70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3.5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75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70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3.5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75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70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3.5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75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70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3.5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75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70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3.5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75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70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3.5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75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70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3.5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75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70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3.5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75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70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3.5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75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70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3.5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71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74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3.5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74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74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3.5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74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7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249">
        <f>SUM(H23:H60)</f>
        <v>0</v>
      </c>
      <c r="I66" s="45"/>
      <c r="J66" s="40"/>
      <c r="K66" s="114"/>
      <c r="M66" s="384" t="s">
        <v>135</v>
      </c>
      <c r="N66" s="384"/>
      <c r="O66" s="384"/>
      <c r="P66" s="249">
        <f>SUM(P23:P64)</f>
        <v>0</v>
      </c>
      <c r="Q66" s="125"/>
      <c r="R66" s="247"/>
      <c r="S66" s="178" t="s">
        <v>99</v>
      </c>
      <c r="T66" s="249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3.7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71">
        <f>IF(G12-P66&gt;0,G12-P66,0)</f>
        <v>0</v>
      </c>
      <c r="Q68" s="253"/>
      <c r="R68" s="254"/>
      <c r="S68" s="255" t="s">
        <v>169</v>
      </c>
      <c r="T68" s="271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3.7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71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71">
        <f>T68*7.48</f>
        <v>0</v>
      </c>
      <c r="U69" s="271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71" t="str">
        <f>IF('Site Data'!E13="Yes",IF(G17-T66-IF(P66&gt;G12,P66-G12,0)&gt;0,G17-T66-IF(P66&gt;G12,P66-G12,0),0),"N/A")</f>
        <v>N/A</v>
      </c>
      <c r="U71" s="271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M72" s="366" t="s">
        <v>158</v>
      </c>
      <c r="N72" s="367"/>
      <c r="O72" s="368"/>
      <c r="P72" s="271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71" t="str">
        <f>IF(T71="N/A","N/A",T71*7.48)</f>
        <v>N/A</v>
      </c>
      <c r="U72" s="271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71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71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idden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idden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idden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idden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9"/>
      <c r="S147" s="26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9"/>
      <c r="S148" s="26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9"/>
      <c r="S149" s="26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9"/>
      <c r="S150" s="26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9"/>
      <c r="S151" s="26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9"/>
      <c r="S152" s="26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9"/>
      <c r="S153" s="26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D18:F18"/>
    <mergeCell ref="A21:A22"/>
    <mergeCell ref="B21:C21"/>
    <mergeCell ref="D21:E21"/>
    <mergeCell ref="F21:G21"/>
    <mergeCell ref="H21:H22"/>
    <mergeCell ref="A1:H1"/>
    <mergeCell ref="A4:B4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1">
    <dataValidation type="list" allowBlank="1" showInputMessage="1" showErrorMessage="1" sqref="S23 S27:S60 S25">
      <formula1>$A$77:$A$95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Q294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70" t="s">
        <v>196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85" t="s">
        <v>203</v>
      </c>
      <c r="B4" s="2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72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76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75" t="s">
        <v>10</v>
      </c>
      <c r="B14" s="272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61" t="s">
        <v>114</v>
      </c>
      <c r="E17" s="361"/>
      <c r="F17" s="361"/>
      <c r="G17" s="67" t="str">
        <f>IF('Site Data'!E13="Yes",1.7/12*F9*B11-G12,"NA")</f>
        <v>NA</v>
      </c>
      <c r="H17" s="49"/>
    </row>
    <row r="18" spans="1:43">
      <c r="B18" s="2"/>
      <c r="C18"/>
      <c r="D18" s="361" t="s">
        <v>117</v>
      </c>
      <c r="E18" s="361"/>
      <c r="F18" s="361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137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376">
        <f>1.7/12*('Site Data'!$H$31*B23+'Site Data'!$H$32*B24+'Site Data'!$H$33*SUM(D23:D24))</f>
        <v>0</v>
      </c>
      <c r="I23" s="336" t="s">
        <v>35</v>
      </c>
      <c r="J23" s="337"/>
      <c r="K23" s="377">
        <v>1</v>
      </c>
      <c r="L23" s="378">
        <f>W67</f>
        <v>0</v>
      </c>
      <c r="M23" s="378">
        <f>H23+L23</f>
        <v>0</v>
      </c>
      <c r="N23" s="379" t="s">
        <v>11</v>
      </c>
      <c r="O23" s="380"/>
      <c r="P23" s="381">
        <f>IF(O23*K23&lt;=M23,O23*K23,M23)</f>
        <v>0</v>
      </c>
      <c r="Q23" s="378">
        <f>M23-P23</f>
        <v>0</v>
      </c>
      <c r="R23" s="379" t="s">
        <v>11</v>
      </c>
      <c r="S23" s="371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137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75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67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70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68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75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70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68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75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70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68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75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70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68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75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70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3.5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75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70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3.5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75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70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3.5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75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70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3.5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75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70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3.5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75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70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3.5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75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70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3.5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75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70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3.5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75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70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3.5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75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70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3.5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75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70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3.5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75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70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3.5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75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70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3.5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75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70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3.5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71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74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3.5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74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74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3.5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74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7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249">
        <f>SUM(H23:H60)</f>
        <v>0</v>
      </c>
      <c r="I66" s="45"/>
      <c r="J66" s="40"/>
      <c r="K66" s="114"/>
      <c r="M66" s="384" t="s">
        <v>135</v>
      </c>
      <c r="N66" s="384"/>
      <c r="O66" s="384"/>
      <c r="P66" s="249">
        <f>SUM(P23:P64)</f>
        <v>0</v>
      </c>
      <c r="Q66" s="125"/>
      <c r="R66" s="247"/>
      <c r="S66" s="178" t="s">
        <v>99</v>
      </c>
      <c r="T66" s="249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3.7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71">
        <f>IF(G12-P66&gt;0,G12-P66,0)</f>
        <v>0</v>
      </c>
      <c r="Q68" s="253"/>
      <c r="R68" s="254"/>
      <c r="S68" s="255" t="s">
        <v>169</v>
      </c>
      <c r="T68" s="271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3.7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71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71">
        <f>T68*7.48</f>
        <v>0</v>
      </c>
      <c r="U69" s="271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71" t="str">
        <f>IF('Site Data'!E13="Yes",IF(G17-T66-IF(P66&gt;G12,P66-G12,0)&gt;0,G17-T66-IF(P66&gt;G12,P66-G12,0),0),"N/A")</f>
        <v>N/A</v>
      </c>
      <c r="U71" s="271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M72" s="366" t="s">
        <v>158</v>
      </c>
      <c r="N72" s="367"/>
      <c r="O72" s="368"/>
      <c r="P72" s="271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71" t="str">
        <f>IF(T71="N/A","N/A",T71*7.48)</f>
        <v>N/A</v>
      </c>
      <c r="U72" s="271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71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71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idden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idden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idden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idden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9"/>
      <c r="S147" s="26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9"/>
      <c r="S148" s="26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9"/>
      <c r="S149" s="26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9"/>
      <c r="S150" s="26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9"/>
      <c r="S151" s="26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9"/>
      <c r="S152" s="26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9"/>
      <c r="S153" s="26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D18:F18"/>
    <mergeCell ref="A21:A22"/>
    <mergeCell ref="B21:C21"/>
    <mergeCell ref="D21:E21"/>
    <mergeCell ref="F21:G21"/>
    <mergeCell ref="H21:H22"/>
    <mergeCell ref="A1:H1"/>
    <mergeCell ref="A4:B4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1">
    <dataValidation type="list" allowBlank="1" showInputMessage="1" showErrorMessage="1" sqref="S23 S27:S60 S25">
      <formula1>$A$77:$A$95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Q294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70" t="s">
        <v>195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85" t="s">
        <v>204</v>
      </c>
      <c r="B4" s="2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72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76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75" t="s">
        <v>10</v>
      </c>
      <c r="B14" s="272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61" t="s">
        <v>114</v>
      </c>
      <c r="E17" s="361"/>
      <c r="F17" s="361"/>
      <c r="G17" s="67" t="str">
        <f>IF('Site Data'!E13="Yes",1.7/12*F9*B11-G12,"NA")</f>
        <v>NA</v>
      </c>
      <c r="H17" s="49"/>
    </row>
    <row r="18" spans="1:43">
      <c r="B18" s="2"/>
      <c r="C18"/>
      <c r="D18" s="361" t="s">
        <v>117</v>
      </c>
      <c r="E18" s="361"/>
      <c r="F18" s="361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137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376">
        <f>1.7/12*('Site Data'!$H$31*B23+'Site Data'!$H$32*B24+'Site Data'!$H$33*SUM(D23:D24))</f>
        <v>0</v>
      </c>
      <c r="I23" s="336" t="s">
        <v>35</v>
      </c>
      <c r="J23" s="337"/>
      <c r="K23" s="377">
        <v>1</v>
      </c>
      <c r="L23" s="378">
        <f>W67</f>
        <v>0</v>
      </c>
      <c r="M23" s="378">
        <f>H23+L23</f>
        <v>0</v>
      </c>
      <c r="N23" s="379" t="s">
        <v>11</v>
      </c>
      <c r="O23" s="380"/>
      <c r="P23" s="381">
        <f>IF(O23*K23&lt;=M23,O23*K23,M23)</f>
        <v>0</v>
      </c>
      <c r="Q23" s="378">
        <f>M23-P23</f>
        <v>0</v>
      </c>
      <c r="R23" s="379" t="s">
        <v>11</v>
      </c>
      <c r="S23" s="371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137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75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67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70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68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75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70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68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75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70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68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75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70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68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75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70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3.5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75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70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3.5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75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70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3.5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75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70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3.5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75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70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3.5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75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70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3.5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75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70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3.5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75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70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3.5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75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70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3.5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75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70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3.5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75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70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3.5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75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70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3.5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75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70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3.5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75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70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3.5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71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74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3.5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74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74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3.5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74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7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249">
        <f>SUM(H23:H60)</f>
        <v>0</v>
      </c>
      <c r="I66" s="45"/>
      <c r="J66" s="40"/>
      <c r="K66" s="114"/>
      <c r="M66" s="384" t="s">
        <v>135</v>
      </c>
      <c r="N66" s="384"/>
      <c r="O66" s="384"/>
      <c r="P66" s="249">
        <f>SUM(P23:P64)</f>
        <v>0</v>
      </c>
      <c r="Q66" s="125"/>
      <c r="R66" s="247"/>
      <c r="S66" s="178" t="s">
        <v>99</v>
      </c>
      <c r="T66" s="249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3.7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71">
        <f>IF(G12-P66&gt;0,G12-P66,0)</f>
        <v>0</v>
      </c>
      <c r="Q68" s="253"/>
      <c r="R68" s="254"/>
      <c r="S68" s="255" t="s">
        <v>169</v>
      </c>
      <c r="T68" s="271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3.7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71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71">
        <f>T68*7.48</f>
        <v>0</v>
      </c>
      <c r="U69" s="271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71" t="str">
        <f>IF('Site Data'!E13="Yes",IF(G17-T66-IF(P66&gt;G12,P66-G12,0)&gt;0,G17-T66-IF(P66&gt;G12,P66-G12,0),0),"N/A")</f>
        <v>N/A</v>
      </c>
      <c r="U71" s="271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M72" s="366" t="s">
        <v>158</v>
      </c>
      <c r="N72" s="367"/>
      <c r="O72" s="368"/>
      <c r="P72" s="271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71" t="str">
        <f>IF(T71="N/A","N/A",T71*7.48)</f>
        <v>N/A</v>
      </c>
      <c r="U72" s="271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71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71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idden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idden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idden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idden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9"/>
      <c r="S147" s="26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9"/>
      <c r="S148" s="26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9"/>
      <c r="S149" s="26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9"/>
      <c r="S150" s="26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9"/>
      <c r="S151" s="26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9"/>
      <c r="S152" s="26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9"/>
      <c r="S153" s="26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D18:F18"/>
    <mergeCell ref="A21:A22"/>
    <mergeCell ref="B21:C21"/>
    <mergeCell ref="D21:E21"/>
    <mergeCell ref="F21:G21"/>
    <mergeCell ref="H21:H22"/>
    <mergeCell ref="A1:H1"/>
    <mergeCell ref="A4:B4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1">
    <dataValidation type="list" allowBlank="1" showInputMessage="1" showErrorMessage="1" sqref="S23 S27:S60 S25">
      <formula1>$A$77:$A$95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I235"/>
  <sheetViews>
    <sheetView workbookViewId="0">
      <selection sqref="A1:H1"/>
    </sheetView>
  </sheetViews>
  <sheetFormatPr defaultColWidth="8.85546875" defaultRowHeight="12.75"/>
  <cols>
    <col min="1" max="1" width="59.28515625" style="2" customWidth="1"/>
    <col min="2" max="2" width="16.7109375" style="88" customWidth="1"/>
    <col min="3" max="5" width="8.85546875" style="2"/>
    <col min="6" max="6" width="8.85546875" style="88"/>
    <col min="7" max="16384" width="8.85546875" style="2"/>
  </cols>
  <sheetData>
    <row r="1" spans="1:9" ht="18" customHeight="1">
      <c r="A1" s="283" t="s">
        <v>215</v>
      </c>
      <c r="B1" s="283"/>
      <c r="C1" s="283"/>
      <c r="D1" s="283"/>
      <c r="E1" s="283"/>
      <c r="F1" s="283"/>
      <c r="G1" s="283"/>
      <c r="H1" s="283"/>
    </row>
    <row r="2" spans="1:9" ht="18">
      <c r="A2" s="261" t="s">
        <v>72</v>
      </c>
      <c r="B2" s="181"/>
      <c r="C2" s="49"/>
      <c r="D2" s="154"/>
      <c r="E2" s="49"/>
      <c r="F2" s="129"/>
      <c r="G2" s="49"/>
      <c r="H2" s="49"/>
    </row>
    <row r="5" spans="1:9" ht="15.75">
      <c r="A5" s="6" t="s">
        <v>136</v>
      </c>
    </row>
    <row r="6" spans="1:9">
      <c r="A6" s="98" t="s">
        <v>76</v>
      </c>
      <c r="B6" s="137">
        <f>'D.A. 1'!$B$6</f>
        <v>0</v>
      </c>
      <c r="D6" s="148" t="s">
        <v>80</v>
      </c>
      <c r="E6" s="148"/>
      <c r="F6" s="137">
        <f>IFERROR('D.A. 1'!$G$12,0)</f>
        <v>0</v>
      </c>
      <c r="G6" s="167"/>
      <c r="H6" s="167"/>
    </row>
    <row r="7" spans="1:9">
      <c r="A7" s="98" t="s">
        <v>77</v>
      </c>
      <c r="B7" s="137">
        <f>'D.A. 1'!$B$7</f>
        <v>0</v>
      </c>
      <c r="D7" s="195" t="s">
        <v>110</v>
      </c>
      <c r="E7" s="148"/>
      <c r="F7" s="137" t="str">
        <f>IFERROR('D.A. 1'!$G$17,0)</f>
        <v>NA</v>
      </c>
      <c r="G7" s="28"/>
      <c r="H7" s="28"/>
    </row>
    <row r="8" spans="1:9">
      <c r="A8" s="98" t="s">
        <v>78</v>
      </c>
      <c r="B8" s="137">
        <f>'D.A. 1'!$B$8</f>
        <v>0</v>
      </c>
      <c r="H8" s="32"/>
    </row>
    <row r="9" spans="1:9">
      <c r="A9" s="98" t="s">
        <v>79</v>
      </c>
      <c r="B9" s="137">
        <f>'D.A. 1'!$B$11</f>
        <v>0</v>
      </c>
      <c r="D9" s="83"/>
      <c r="E9" s="83"/>
      <c r="F9" s="128"/>
      <c r="G9" s="28"/>
      <c r="H9" s="28"/>
      <c r="I9" s="28"/>
    </row>
    <row r="10" spans="1:9">
      <c r="A10" s="28"/>
      <c r="B10" s="119"/>
      <c r="C10" s="28"/>
      <c r="D10" s="28"/>
      <c r="E10" s="28"/>
      <c r="F10" s="119"/>
      <c r="G10" s="28"/>
      <c r="H10" s="28"/>
      <c r="I10" s="28"/>
    </row>
    <row r="11" spans="1:9">
      <c r="A11" s="98" t="s">
        <v>53</v>
      </c>
      <c r="B11" s="137">
        <f>'D.A. 1'!$P$66</f>
        <v>0</v>
      </c>
      <c r="C11" s="28"/>
      <c r="D11" s="28"/>
      <c r="E11" s="28"/>
      <c r="F11" s="119"/>
      <c r="G11" s="28"/>
      <c r="H11" s="28"/>
      <c r="I11" s="28"/>
    </row>
    <row r="12" spans="1:9">
      <c r="A12" s="98" t="s">
        <v>54</v>
      </c>
      <c r="B12" s="137">
        <f>IF(F6-B11&gt;0,F6-B11,0)</f>
        <v>0</v>
      </c>
      <c r="C12" s="28"/>
      <c r="D12" s="28"/>
      <c r="E12" s="28"/>
      <c r="F12" s="119"/>
      <c r="G12" s="28"/>
      <c r="H12" s="28"/>
      <c r="I12" s="28"/>
    </row>
    <row r="13" spans="1:9">
      <c r="A13" s="176" t="s">
        <v>97</v>
      </c>
      <c r="B13" s="137">
        <f>B12*7.48</f>
        <v>0</v>
      </c>
      <c r="C13" s="28"/>
      <c r="D13" s="28"/>
      <c r="E13" s="28"/>
      <c r="F13" s="119"/>
      <c r="G13" s="28"/>
      <c r="H13" s="28"/>
      <c r="I13" s="28"/>
    </row>
    <row r="14" spans="1:9">
      <c r="A14" s="87" t="s">
        <v>73</v>
      </c>
      <c r="B14" s="67" t="str">
        <f>IFERROR('D.A. 1'!$P$71,NA())</f>
        <v>Yes</v>
      </c>
      <c r="C14" s="28"/>
      <c r="D14" s="28"/>
      <c r="E14" s="28"/>
      <c r="F14" s="119"/>
      <c r="G14" s="28"/>
      <c r="H14" s="28"/>
      <c r="I14" s="28"/>
    </row>
    <row r="15" spans="1:9">
      <c r="A15" s="87" t="s">
        <v>161</v>
      </c>
      <c r="B15" s="67" t="str">
        <f>IFERROR('D.A. 1'!$P$72,NA())</f>
        <v>N/A</v>
      </c>
      <c r="C15" s="28"/>
      <c r="D15" s="28"/>
      <c r="E15" s="28"/>
      <c r="F15" s="119"/>
      <c r="G15" s="28"/>
      <c r="H15" s="28"/>
      <c r="I15" s="28"/>
    </row>
    <row r="16" spans="1:9">
      <c r="A16" s="28"/>
      <c r="B16" s="119"/>
      <c r="C16" s="28"/>
      <c r="D16" s="28"/>
      <c r="E16" s="28"/>
      <c r="F16" s="119"/>
      <c r="G16" s="28"/>
      <c r="H16" s="28"/>
      <c r="I16" s="28"/>
    </row>
    <row r="17" spans="1:9">
      <c r="A17" s="177" t="str">
        <f>'D.A. 1'!$M$73</f>
        <v>Treatment Required?</v>
      </c>
      <c r="B17" s="182" t="str">
        <f>IFERROR('D.A. 1'!$P$73,NA())</f>
        <v>No</v>
      </c>
      <c r="C17" s="28"/>
      <c r="D17" s="28"/>
      <c r="E17" s="28"/>
      <c r="F17" s="119"/>
      <c r="G17" s="28"/>
      <c r="H17" s="28"/>
      <c r="I17" s="28"/>
    </row>
    <row r="18" spans="1:9">
      <c r="A18" s="177" t="str">
        <f>'D.A. 1'!$S$66</f>
        <v>Volume Treated (cubic feet)</v>
      </c>
      <c r="B18" s="182">
        <f>'D.A. 1'!$T$66</f>
        <v>0</v>
      </c>
      <c r="C18" s="28"/>
      <c r="D18" s="28"/>
      <c r="E18" s="28"/>
      <c r="F18" s="119"/>
      <c r="G18" s="28"/>
      <c r="H18" s="28"/>
      <c r="I18" s="28"/>
    </row>
    <row r="19" spans="1:9">
      <c r="A19" s="177" t="str">
        <f>'D.A. 1'!$S$68</f>
        <v>Volume Remaining to Treat 50% of the SWRv (cubic feet)</v>
      </c>
      <c r="B19" s="182">
        <f>'D.A. 1'!$T$68</f>
        <v>0</v>
      </c>
      <c r="C19" s="28"/>
      <c r="D19" s="28"/>
      <c r="E19" s="28"/>
      <c r="F19" s="119"/>
      <c r="G19" s="28"/>
      <c r="H19" s="28"/>
      <c r="I19" s="28"/>
    </row>
    <row r="20" spans="1:9">
      <c r="A20" s="177" t="str">
        <f>'D.A. 1'!$S$69</f>
        <v>Volume Remaining to Treat 50% of the SWRv (gallons)</v>
      </c>
      <c r="B20" s="182">
        <f>'D.A. 1'!$T$69</f>
        <v>0</v>
      </c>
      <c r="C20" s="28"/>
      <c r="D20" s="28"/>
      <c r="E20" s="28"/>
      <c r="F20" s="119"/>
      <c r="G20" s="28"/>
      <c r="H20" s="28"/>
      <c r="I20" s="28"/>
    </row>
    <row r="21" spans="1:9">
      <c r="A21" s="177" t="str">
        <f>'D.A. 1'!$S$71</f>
        <v>Volume Remaining to Treat WQTv (cubic feet)</v>
      </c>
      <c r="B21" s="182" t="str">
        <f>'D.A. 1'!$T$71</f>
        <v>N/A</v>
      </c>
      <c r="C21" s="28"/>
      <c r="D21" s="28"/>
      <c r="E21" s="28"/>
      <c r="F21" s="119"/>
      <c r="G21" s="28"/>
      <c r="H21" s="28"/>
      <c r="I21" s="28"/>
    </row>
    <row r="22" spans="1:9">
      <c r="A22" s="177" t="str">
        <f>'D.A. 1'!$S$72</f>
        <v>Volume Remaining to Treat WQTv (gallons)</v>
      </c>
      <c r="B22" s="182" t="str">
        <f>'D.A. 1'!$T$72</f>
        <v>N/A</v>
      </c>
      <c r="C22" s="28"/>
      <c r="D22" s="28"/>
      <c r="E22" s="28"/>
      <c r="F22" s="119"/>
      <c r="G22" s="28"/>
      <c r="H22" s="28"/>
      <c r="I22" s="28"/>
    </row>
    <row r="23" spans="1:9">
      <c r="A23" s="28"/>
      <c r="B23" s="119"/>
      <c r="C23" s="28"/>
      <c r="D23" s="28"/>
      <c r="E23" s="28"/>
      <c r="F23" s="119"/>
      <c r="G23" s="28"/>
      <c r="H23" s="28"/>
      <c r="I23" s="28"/>
    </row>
    <row r="24" spans="1:9">
      <c r="A24" s="28"/>
      <c r="B24" s="119"/>
      <c r="C24" s="28"/>
      <c r="D24" s="28"/>
      <c r="E24" s="28"/>
      <c r="F24" s="119"/>
      <c r="G24" s="28"/>
      <c r="H24" s="28"/>
      <c r="I24" s="28"/>
    </row>
    <row r="25" spans="1:9" ht="15.75">
      <c r="A25" s="6" t="s">
        <v>137</v>
      </c>
    </row>
    <row r="26" spans="1:9">
      <c r="A26" s="98" t="s">
        <v>76</v>
      </c>
      <c r="B26" s="137">
        <f>'D.A. 2'!$B$6</f>
        <v>0</v>
      </c>
      <c r="D26" s="148" t="s">
        <v>80</v>
      </c>
      <c r="E26" s="148"/>
      <c r="F26" s="137">
        <f>IFERROR('D.A. 2'!$G$12,0)</f>
        <v>0</v>
      </c>
      <c r="G26" s="167"/>
      <c r="H26" s="167"/>
      <c r="I26" s="112"/>
    </row>
    <row r="27" spans="1:9">
      <c r="A27" s="98" t="s">
        <v>77</v>
      </c>
      <c r="B27" s="137">
        <f>'D.A. 2'!$B$7</f>
        <v>0</v>
      </c>
      <c r="D27" s="195" t="s">
        <v>110</v>
      </c>
      <c r="E27" s="148"/>
      <c r="F27" s="137" t="str">
        <f>IFERROR('D.A. 2'!$G$17,0)</f>
        <v>NA</v>
      </c>
      <c r="G27" s="28"/>
      <c r="H27" s="28"/>
      <c r="I27" s="28"/>
    </row>
    <row r="28" spans="1:9">
      <c r="A28" s="98" t="s">
        <v>78</v>
      </c>
      <c r="B28" s="137">
        <f>'D.A. 2'!$B$8</f>
        <v>0</v>
      </c>
      <c r="G28" s="32"/>
      <c r="H28" s="32"/>
      <c r="I28" s="170"/>
    </row>
    <row r="29" spans="1:9">
      <c r="A29" s="98" t="s">
        <v>79</v>
      </c>
      <c r="B29" s="137">
        <f>'D.A. 2'!$B$11</f>
        <v>0</v>
      </c>
      <c r="D29" s="83"/>
      <c r="E29" s="83"/>
      <c r="F29" s="119"/>
      <c r="G29" s="28"/>
      <c r="H29" s="28"/>
      <c r="I29" s="28"/>
    </row>
    <row r="30" spans="1:9">
      <c r="A30" s="28"/>
      <c r="B30" s="119"/>
      <c r="C30" s="28"/>
      <c r="D30" s="28"/>
      <c r="E30" s="28"/>
      <c r="F30" s="119"/>
      <c r="G30" s="28"/>
      <c r="H30" s="28"/>
      <c r="I30" s="28"/>
    </row>
    <row r="31" spans="1:9">
      <c r="A31" s="98" t="s">
        <v>53</v>
      </c>
      <c r="B31" s="137">
        <f>'D.A. 2'!$P$66</f>
        <v>0</v>
      </c>
      <c r="C31" s="28"/>
      <c r="D31" s="28"/>
      <c r="E31" s="28"/>
      <c r="F31" s="119"/>
      <c r="G31" s="28"/>
      <c r="H31" s="28"/>
      <c r="I31" s="28"/>
    </row>
    <row r="32" spans="1:9">
      <c r="A32" s="98" t="s">
        <v>54</v>
      </c>
      <c r="B32" s="137">
        <f>IF(F26-B31&gt;0,F26-B31,0)</f>
        <v>0</v>
      </c>
      <c r="C32" s="28"/>
      <c r="D32" s="28"/>
      <c r="E32" s="28"/>
      <c r="F32" s="119"/>
      <c r="G32" s="28"/>
      <c r="H32" s="28"/>
      <c r="I32" s="28"/>
    </row>
    <row r="33" spans="1:9">
      <c r="A33" s="176" t="s">
        <v>97</v>
      </c>
      <c r="B33" s="137">
        <f>B32*7.48</f>
        <v>0</v>
      </c>
      <c r="C33" s="28"/>
      <c r="D33" s="28"/>
      <c r="E33" s="28"/>
      <c r="F33" s="119"/>
      <c r="G33" s="28"/>
      <c r="H33" s="28"/>
      <c r="I33" s="28"/>
    </row>
    <row r="34" spans="1:9">
      <c r="A34" s="87" t="s">
        <v>73</v>
      </c>
      <c r="B34" s="67" t="str">
        <f>IFERROR('D.A. 2'!$P$71,NA())</f>
        <v>Yes</v>
      </c>
      <c r="C34" s="28"/>
      <c r="D34" s="28"/>
      <c r="E34" s="28"/>
      <c r="F34" s="119"/>
      <c r="G34" s="28"/>
      <c r="H34" s="28"/>
      <c r="I34" s="28"/>
    </row>
    <row r="35" spans="1:9">
      <c r="A35" s="87" t="s">
        <v>161</v>
      </c>
      <c r="B35" s="67" t="str">
        <f>IFERROR('D.A. 2'!$P$72,NA())</f>
        <v>N/A</v>
      </c>
      <c r="C35" s="28"/>
      <c r="D35" s="28"/>
      <c r="E35" s="28"/>
      <c r="F35" s="119"/>
      <c r="G35" s="28"/>
      <c r="H35" s="28"/>
      <c r="I35" s="28"/>
    </row>
    <row r="36" spans="1:9">
      <c r="A36" s="28"/>
      <c r="B36" s="119"/>
      <c r="C36" s="28"/>
      <c r="D36" s="28"/>
      <c r="E36" s="28"/>
      <c r="F36" s="119"/>
      <c r="G36" s="28"/>
      <c r="H36" s="28"/>
      <c r="I36" s="28"/>
    </row>
    <row r="37" spans="1:9">
      <c r="A37" s="177" t="str">
        <f>$A$17</f>
        <v>Treatment Required?</v>
      </c>
      <c r="B37" s="182" t="str">
        <f>IFERROR('D.A. 2'!$P$73,NA())</f>
        <v>No</v>
      </c>
      <c r="C37" s="28"/>
      <c r="D37" s="28"/>
      <c r="E37" s="28"/>
      <c r="F37" s="119"/>
      <c r="G37" s="28"/>
      <c r="H37" s="28"/>
      <c r="I37" s="28"/>
    </row>
    <row r="38" spans="1:9">
      <c r="A38" s="177" t="str">
        <f>$A$18</f>
        <v>Volume Treated (cubic feet)</v>
      </c>
      <c r="B38" s="182">
        <f>'D.A. 2'!$T$66</f>
        <v>0</v>
      </c>
      <c r="C38" s="28"/>
      <c r="D38" s="28"/>
      <c r="E38" s="28"/>
      <c r="F38" s="119"/>
      <c r="G38" s="28"/>
      <c r="H38" s="28"/>
      <c r="I38" s="28"/>
    </row>
    <row r="39" spans="1:9">
      <c r="A39" s="177" t="str">
        <f>'D.A. 1'!$S$68</f>
        <v>Volume Remaining to Treat 50% of the SWRv (cubic feet)</v>
      </c>
      <c r="B39" s="182">
        <f>'D.A. 2'!$T$68</f>
        <v>0</v>
      </c>
      <c r="C39" s="28"/>
      <c r="D39" s="28"/>
      <c r="E39" s="28"/>
      <c r="F39" s="119"/>
      <c r="G39" s="28"/>
      <c r="H39" s="28"/>
      <c r="I39" s="28"/>
    </row>
    <row r="40" spans="1:9">
      <c r="A40" s="177" t="str">
        <f>'D.A. 1'!$S$69</f>
        <v>Volume Remaining to Treat 50% of the SWRv (gallons)</v>
      </c>
      <c r="B40" s="182">
        <f>'D.A. 2'!$T$69</f>
        <v>0</v>
      </c>
      <c r="C40" s="28"/>
      <c r="D40" s="28"/>
      <c r="E40" s="28"/>
      <c r="F40" s="119"/>
      <c r="G40" s="28"/>
      <c r="H40" s="28"/>
      <c r="I40" s="28"/>
    </row>
    <row r="41" spans="1:9">
      <c r="A41" s="177" t="str">
        <f>'D.A. 1'!$S$71</f>
        <v>Volume Remaining to Treat WQTv (cubic feet)</v>
      </c>
      <c r="B41" s="182" t="str">
        <f>'D.A. 2'!$T$71</f>
        <v>N/A</v>
      </c>
      <c r="C41" s="28"/>
      <c r="D41" s="28"/>
      <c r="E41" s="28"/>
      <c r="F41" s="119"/>
      <c r="G41" s="28"/>
      <c r="H41" s="28"/>
      <c r="I41" s="28"/>
    </row>
    <row r="42" spans="1:9">
      <c r="A42" s="177" t="str">
        <f>'D.A. 1'!$S$72</f>
        <v>Volume Remaining to Treat WQTv (gallons)</v>
      </c>
      <c r="B42" s="182" t="str">
        <f>'D.A. 2'!$T$72</f>
        <v>N/A</v>
      </c>
      <c r="C42" s="28"/>
      <c r="D42" s="28"/>
      <c r="E42" s="28"/>
      <c r="F42" s="119"/>
      <c r="G42" s="28"/>
      <c r="H42" s="28"/>
      <c r="I42" s="28"/>
    </row>
    <row r="43" spans="1:9">
      <c r="A43" s="28"/>
      <c r="B43" s="119"/>
      <c r="C43" s="28"/>
      <c r="D43" s="28"/>
      <c r="E43" s="28"/>
      <c r="F43" s="119"/>
      <c r="G43" s="28"/>
      <c r="H43" s="28"/>
      <c r="I43" s="28"/>
    </row>
    <row r="44" spans="1:9">
      <c r="A44" s="28"/>
      <c r="B44" s="119"/>
      <c r="C44" s="28"/>
      <c r="D44" s="28"/>
      <c r="E44" s="28"/>
      <c r="F44" s="119"/>
      <c r="G44" s="28"/>
      <c r="H44" s="28"/>
      <c r="I44" s="28"/>
    </row>
    <row r="45" spans="1:9" ht="15.75">
      <c r="A45" s="6" t="s">
        <v>138</v>
      </c>
      <c r="D45" s="28"/>
      <c r="E45" s="28"/>
      <c r="F45" s="119"/>
      <c r="G45" s="28"/>
      <c r="H45" s="28"/>
      <c r="I45" s="28"/>
    </row>
    <row r="46" spans="1:9">
      <c r="A46" s="98" t="s">
        <v>76</v>
      </c>
      <c r="B46" s="137">
        <f>'D.A. 3'!$B$6</f>
        <v>0</v>
      </c>
      <c r="D46" s="148" t="s">
        <v>80</v>
      </c>
      <c r="E46" s="148"/>
      <c r="F46" s="137">
        <f>IFERROR('D.A. 3'!$G$12,0)</f>
        <v>0</v>
      </c>
      <c r="G46" s="167"/>
      <c r="H46" s="167"/>
      <c r="I46" s="112"/>
    </row>
    <row r="47" spans="1:9">
      <c r="A47" s="98" t="s">
        <v>77</v>
      </c>
      <c r="B47" s="137">
        <f>'D.A. 3'!$B$7</f>
        <v>0</v>
      </c>
      <c r="D47" s="195" t="s">
        <v>110</v>
      </c>
      <c r="E47" s="148"/>
      <c r="F47" s="137" t="str">
        <f>IFERROR('D.A. 3'!$G$17,0)</f>
        <v>NA</v>
      </c>
      <c r="G47" s="28"/>
      <c r="H47" s="28"/>
      <c r="I47" s="28"/>
    </row>
    <row r="48" spans="1:9">
      <c r="A48" s="98" t="s">
        <v>78</v>
      </c>
      <c r="B48" s="137">
        <f>'D.A. 3'!$B$8</f>
        <v>0</v>
      </c>
      <c r="G48" s="32"/>
      <c r="H48" s="32"/>
      <c r="I48" s="170"/>
    </row>
    <row r="49" spans="1:9">
      <c r="A49" s="98" t="s">
        <v>79</v>
      </c>
      <c r="B49" s="137">
        <f>'D.A. 3'!$B$11</f>
        <v>0</v>
      </c>
      <c r="D49" s="83"/>
      <c r="E49" s="83"/>
      <c r="F49" s="119"/>
      <c r="G49" s="28"/>
      <c r="H49" s="28"/>
      <c r="I49" s="28"/>
    </row>
    <row r="50" spans="1:9">
      <c r="A50" s="28"/>
      <c r="B50" s="119"/>
      <c r="C50" s="28"/>
      <c r="D50" s="28"/>
      <c r="E50" s="28"/>
      <c r="F50" s="119"/>
      <c r="G50" s="28"/>
      <c r="H50" s="28"/>
      <c r="I50" s="28"/>
    </row>
    <row r="51" spans="1:9">
      <c r="A51" s="98" t="s">
        <v>53</v>
      </c>
      <c r="B51" s="137">
        <f>'D.A. 3'!$P$66</f>
        <v>0</v>
      </c>
      <c r="C51" s="28"/>
      <c r="D51" s="28"/>
      <c r="E51" s="28"/>
      <c r="F51" s="119"/>
      <c r="G51" s="28"/>
      <c r="H51" s="28"/>
      <c r="I51" s="28"/>
    </row>
    <row r="52" spans="1:9">
      <c r="A52" s="98" t="s">
        <v>54</v>
      </c>
      <c r="B52" s="137">
        <f>IF(F46-B51&gt;0,F46-B51,0)</f>
        <v>0</v>
      </c>
      <c r="C52" s="28"/>
      <c r="D52" s="28"/>
      <c r="E52" s="28"/>
      <c r="F52" s="119"/>
      <c r="G52" s="28"/>
      <c r="H52" s="28"/>
      <c r="I52" s="28"/>
    </row>
    <row r="53" spans="1:9">
      <c r="A53" s="176" t="s">
        <v>97</v>
      </c>
      <c r="B53" s="137">
        <f>B52*7.48</f>
        <v>0</v>
      </c>
      <c r="C53" s="28"/>
      <c r="D53" s="28"/>
      <c r="E53" s="28"/>
      <c r="F53" s="119"/>
      <c r="G53" s="28"/>
      <c r="H53" s="28"/>
      <c r="I53" s="28"/>
    </row>
    <row r="54" spans="1:9">
      <c r="A54" s="87" t="s">
        <v>73</v>
      </c>
      <c r="B54" s="67" t="str">
        <f>IFERROR('D.A. 3'!$P$71,NA())</f>
        <v>Yes</v>
      </c>
      <c r="C54" s="28"/>
      <c r="D54" s="28"/>
      <c r="E54" s="28"/>
      <c r="F54" s="119"/>
      <c r="G54" s="28"/>
      <c r="H54" s="28"/>
      <c r="I54" s="28"/>
    </row>
    <row r="55" spans="1:9">
      <c r="A55" s="87" t="s">
        <v>161</v>
      </c>
      <c r="B55" s="67" t="str">
        <f>IFERROR('D.A. 3'!$P$72,NA())</f>
        <v>N/A</v>
      </c>
      <c r="C55" s="28"/>
      <c r="D55" s="28"/>
      <c r="E55" s="28"/>
      <c r="F55" s="119"/>
      <c r="G55" s="28"/>
      <c r="H55" s="28"/>
      <c r="I55" s="28"/>
    </row>
    <row r="56" spans="1:9">
      <c r="A56" s="28"/>
      <c r="B56" s="119"/>
      <c r="C56" s="28"/>
      <c r="D56" s="28"/>
      <c r="E56" s="28"/>
      <c r="F56" s="119"/>
      <c r="G56" s="28"/>
      <c r="H56" s="28"/>
      <c r="I56" s="28"/>
    </row>
    <row r="57" spans="1:9">
      <c r="A57" s="177" t="str">
        <f>$A$17</f>
        <v>Treatment Required?</v>
      </c>
      <c r="B57" s="182" t="str">
        <f>IFERROR('D.A. 3'!$P$73,NA())</f>
        <v>No</v>
      </c>
      <c r="C57" s="28"/>
      <c r="D57" s="28"/>
      <c r="E57" s="28"/>
      <c r="F57" s="119"/>
      <c r="G57" s="28"/>
      <c r="H57" s="28"/>
      <c r="I57" s="28"/>
    </row>
    <row r="58" spans="1:9">
      <c r="A58" s="177" t="str">
        <f>$A$18</f>
        <v>Volume Treated (cubic feet)</v>
      </c>
      <c r="B58" s="182">
        <f>'D.A. 3'!$T$66</f>
        <v>0</v>
      </c>
      <c r="C58" s="28"/>
      <c r="D58" s="28"/>
      <c r="E58" s="28"/>
      <c r="F58" s="119"/>
      <c r="G58" s="28"/>
      <c r="H58" s="28"/>
      <c r="I58" s="28"/>
    </row>
    <row r="59" spans="1:9">
      <c r="A59" s="177" t="str">
        <f>'D.A. 1'!$S$68</f>
        <v>Volume Remaining to Treat 50% of the SWRv (cubic feet)</v>
      </c>
      <c r="B59" s="182">
        <f>'D.A. 3'!$T$68</f>
        <v>0</v>
      </c>
      <c r="C59" s="28"/>
      <c r="D59" s="28"/>
      <c r="E59" s="28"/>
      <c r="F59" s="119"/>
      <c r="G59" s="28"/>
      <c r="H59" s="28"/>
      <c r="I59" s="28"/>
    </row>
    <row r="60" spans="1:9">
      <c r="A60" s="177" t="str">
        <f>'D.A. 1'!$S$69</f>
        <v>Volume Remaining to Treat 50% of the SWRv (gallons)</v>
      </c>
      <c r="B60" s="182">
        <f>'D.A. 3'!$T$69</f>
        <v>0</v>
      </c>
      <c r="C60" s="28"/>
      <c r="D60" s="28"/>
      <c r="E60" s="28"/>
      <c r="F60" s="119"/>
      <c r="G60" s="28"/>
      <c r="H60" s="28"/>
      <c r="I60" s="28"/>
    </row>
    <row r="61" spans="1:9">
      <c r="A61" s="177" t="str">
        <f>'D.A. 1'!$S$71</f>
        <v>Volume Remaining to Treat WQTv (cubic feet)</v>
      </c>
      <c r="B61" s="182" t="str">
        <f>'D.A. 3'!$T$71</f>
        <v>N/A</v>
      </c>
      <c r="C61" s="28"/>
      <c r="D61" s="28"/>
      <c r="E61" s="28"/>
      <c r="F61" s="119"/>
      <c r="G61" s="28"/>
      <c r="H61" s="28"/>
      <c r="I61" s="28"/>
    </row>
    <row r="62" spans="1:9">
      <c r="A62" s="177" t="str">
        <f>'D.A. 1'!$S$72</f>
        <v>Volume Remaining to Treat WQTv (gallons)</v>
      </c>
      <c r="B62" s="182" t="str">
        <f>'D.A. 3'!$T$72</f>
        <v>N/A</v>
      </c>
      <c r="C62" s="28"/>
      <c r="D62" s="28"/>
      <c r="E62" s="28"/>
      <c r="F62" s="119"/>
      <c r="G62" s="28"/>
      <c r="H62" s="28"/>
      <c r="I62" s="28"/>
    </row>
    <row r="63" spans="1:9">
      <c r="A63" s="28"/>
      <c r="B63" s="119"/>
      <c r="C63" s="28"/>
      <c r="D63" s="28"/>
      <c r="E63" s="28"/>
      <c r="F63" s="119"/>
      <c r="G63" s="28"/>
      <c r="H63" s="28"/>
      <c r="I63" s="28"/>
    </row>
    <row r="64" spans="1:9">
      <c r="A64" s="28"/>
      <c r="B64" s="119"/>
      <c r="C64" s="28"/>
      <c r="D64" s="28"/>
      <c r="E64" s="28"/>
      <c r="F64" s="119"/>
      <c r="G64" s="28"/>
      <c r="H64" s="28"/>
      <c r="I64" s="28"/>
    </row>
    <row r="65" spans="1:9" ht="15.75">
      <c r="A65" s="6" t="s">
        <v>139</v>
      </c>
      <c r="D65" s="28"/>
      <c r="E65" s="28"/>
      <c r="F65" s="119"/>
      <c r="G65" s="28"/>
      <c r="H65" s="28"/>
      <c r="I65" s="28"/>
    </row>
    <row r="66" spans="1:9">
      <c r="A66" s="98" t="s">
        <v>76</v>
      </c>
      <c r="B66" s="137">
        <f>'D.A. 4'!$B$6</f>
        <v>0</v>
      </c>
      <c r="D66" s="148" t="s">
        <v>80</v>
      </c>
      <c r="E66" s="148"/>
      <c r="F66" s="137">
        <f>IFERROR('D.A. 4'!$G$12,0)</f>
        <v>0</v>
      </c>
      <c r="G66" s="167"/>
      <c r="H66" s="167"/>
      <c r="I66" s="112"/>
    </row>
    <row r="67" spans="1:9">
      <c r="A67" s="98" t="s">
        <v>77</v>
      </c>
      <c r="B67" s="137">
        <f>'D.A. 4'!$B$7</f>
        <v>0</v>
      </c>
      <c r="D67" s="195" t="s">
        <v>110</v>
      </c>
      <c r="E67" s="148"/>
      <c r="F67" s="137" t="str">
        <f>IFERROR('D.A. 4'!$G$17,0)</f>
        <v>NA</v>
      </c>
      <c r="G67" s="28"/>
      <c r="H67" s="28"/>
      <c r="I67" s="28"/>
    </row>
    <row r="68" spans="1:9">
      <c r="A68" s="98" t="s">
        <v>78</v>
      </c>
      <c r="B68" s="137">
        <f>'D.A. 4'!$B$8</f>
        <v>0</v>
      </c>
      <c r="G68" s="32"/>
      <c r="H68" s="32"/>
      <c r="I68" s="170"/>
    </row>
    <row r="69" spans="1:9">
      <c r="A69" s="98" t="s">
        <v>79</v>
      </c>
      <c r="B69" s="137">
        <f>'D.A. 4'!$B$11</f>
        <v>0</v>
      </c>
      <c r="D69" s="83"/>
      <c r="E69" s="83"/>
      <c r="F69" s="119"/>
      <c r="G69" s="28"/>
      <c r="H69" s="28"/>
      <c r="I69" s="28"/>
    </row>
    <row r="70" spans="1:9">
      <c r="A70" s="28"/>
      <c r="B70" s="119"/>
      <c r="C70" s="28"/>
      <c r="D70" s="28"/>
      <c r="E70" s="28"/>
      <c r="F70" s="119"/>
      <c r="G70" s="28"/>
      <c r="H70" s="28"/>
      <c r="I70" s="28"/>
    </row>
    <row r="71" spans="1:9">
      <c r="A71" s="98" t="s">
        <v>53</v>
      </c>
      <c r="B71" s="137">
        <f>'D.A. 4'!$P$66</f>
        <v>0</v>
      </c>
      <c r="C71" s="28"/>
      <c r="D71" s="28"/>
      <c r="E71" s="28"/>
      <c r="F71" s="119"/>
      <c r="G71" s="28"/>
      <c r="H71" s="28"/>
      <c r="I71" s="28"/>
    </row>
    <row r="72" spans="1:9">
      <c r="A72" s="98" t="s">
        <v>54</v>
      </c>
      <c r="B72" s="137">
        <f>IF(F66-B71&gt;0,F66-B71,0)</f>
        <v>0</v>
      </c>
      <c r="C72" s="28"/>
      <c r="D72" s="28"/>
      <c r="E72" s="28"/>
      <c r="F72" s="119"/>
      <c r="G72" s="28"/>
      <c r="H72" s="28"/>
      <c r="I72" s="28"/>
    </row>
    <row r="73" spans="1:9">
      <c r="A73" s="176" t="s">
        <v>97</v>
      </c>
      <c r="B73" s="137">
        <f>B72*7.48</f>
        <v>0</v>
      </c>
      <c r="C73" s="28"/>
      <c r="D73" s="28"/>
      <c r="E73" s="28"/>
      <c r="F73" s="119"/>
      <c r="G73" s="28"/>
      <c r="H73" s="28"/>
      <c r="I73" s="28"/>
    </row>
    <row r="74" spans="1:9">
      <c r="A74" s="87" t="s">
        <v>73</v>
      </c>
      <c r="B74" s="67" t="str">
        <f>IFERROR('D.A. 4'!$P$71,NA())</f>
        <v>Yes</v>
      </c>
      <c r="C74" s="28"/>
      <c r="D74" s="28"/>
      <c r="E74" s="28"/>
      <c r="F74" s="119"/>
      <c r="G74" s="28"/>
      <c r="H74" s="28"/>
      <c r="I74" s="28"/>
    </row>
    <row r="75" spans="1:9">
      <c r="A75" s="87" t="s">
        <v>161</v>
      </c>
      <c r="B75" s="67" t="str">
        <f>IFERROR('D.A. 4'!$P$72,NA())</f>
        <v>N/A</v>
      </c>
      <c r="C75" s="28"/>
      <c r="D75" s="28"/>
      <c r="E75" s="28"/>
      <c r="F75" s="119"/>
      <c r="G75" s="28"/>
      <c r="H75" s="28"/>
      <c r="I75" s="28"/>
    </row>
    <row r="76" spans="1:9">
      <c r="A76" s="28"/>
      <c r="B76" s="119"/>
      <c r="C76" s="28"/>
      <c r="D76" s="28"/>
      <c r="E76" s="28"/>
      <c r="F76" s="119"/>
      <c r="G76" s="28"/>
      <c r="H76" s="28"/>
      <c r="I76" s="28"/>
    </row>
    <row r="77" spans="1:9">
      <c r="A77" s="177" t="str">
        <f>$A$17</f>
        <v>Treatment Required?</v>
      </c>
      <c r="B77" s="182" t="str">
        <f>IFERROR('D.A. 4'!$P$73,NA())</f>
        <v>No</v>
      </c>
      <c r="C77" s="28"/>
      <c r="D77" s="28"/>
      <c r="E77" s="28"/>
      <c r="F77" s="119"/>
      <c r="G77" s="28"/>
      <c r="H77" s="28"/>
      <c r="I77" s="28"/>
    </row>
    <row r="78" spans="1:9">
      <c r="A78" s="177" t="str">
        <f>$A$18</f>
        <v>Volume Treated (cubic feet)</v>
      </c>
      <c r="B78" s="182">
        <f>'D.A. 4'!$T$66</f>
        <v>0</v>
      </c>
      <c r="C78" s="28"/>
      <c r="D78" s="28"/>
      <c r="E78" s="28"/>
      <c r="F78" s="119"/>
      <c r="G78" s="28"/>
      <c r="H78" s="28"/>
      <c r="I78" s="28"/>
    </row>
    <row r="79" spans="1:9">
      <c r="A79" s="177" t="str">
        <f>'D.A. 1'!$S$68</f>
        <v>Volume Remaining to Treat 50% of the SWRv (cubic feet)</v>
      </c>
      <c r="B79" s="182">
        <f>'D.A. 4'!$T$68</f>
        <v>0</v>
      </c>
      <c r="C79" s="28"/>
      <c r="D79" s="28"/>
      <c r="E79" s="28"/>
      <c r="F79" s="119"/>
      <c r="G79" s="28"/>
      <c r="H79" s="28"/>
      <c r="I79" s="28"/>
    </row>
    <row r="80" spans="1:9">
      <c r="A80" s="177" t="str">
        <f>'D.A. 1'!$S$69</f>
        <v>Volume Remaining to Treat 50% of the SWRv (gallons)</v>
      </c>
      <c r="B80" s="182">
        <f>'D.A. 4'!$T$69</f>
        <v>0</v>
      </c>
      <c r="C80" s="28"/>
      <c r="D80" s="28"/>
      <c r="E80" s="28"/>
      <c r="F80" s="119"/>
      <c r="G80" s="28"/>
      <c r="H80" s="28"/>
      <c r="I80" s="28"/>
    </row>
    <row r="81" spans="1:9">
      <c r="A81" s="177" t="str">
        <f>'D.A. 1'!$S$71</f>
        <v>Volume Remaining to Treat WQTv (cubic feet)</v>
      </c>
      <c r="B81" s="182" t="str">
        <f>'D.A. 4'!$T$71</f>
        <v>N/A</v>
      </c>
      <c r="C81" s="28"/>
      <c r="D81" s="28"/>
      <c r="E81" s="28"/>
      <c r="F81" s="119"/>
      <c r="G81" s="28"/>
      <c r="H81" s="28"/>
      <c r="I81" s="28"/>
    </row>
    <row r="82" spans="1:9">
      <c r="A82" s="177" t="str">
        <f>'D.A. 1'!$S$72</f>
        <v>Volume Remaining to Treat WQTv (gallons)</v>
      </c>
      <c r="B82" s="182" t="str">
        <f>'D.A. 4'!$T$72</f>
        <v>N/A</v>
      </c>
      <c r="C82" s="28"/>
      <c r="D82" s="28"/>
      <c r="E82" s="28"/>
      <c r="F82" s="119"/>
      <c r="G82" s="28"/>
      <c r="H82" s="28"/>
      <c r="I82" s="28"/>
    </row>
    <row r="83" spans="1:9">
      <c r="A83" s="40"/>
      <c r="B83" s="183"/>
      <c r="C83" s="28"/>
      <c r="D83" s="28"/>
      <c r="E83" s="28"/>
      <c r="F83" s="119"/>
      <c r="G83" s="28"/>
      <c r="H83" s="28"/>
      <c r="I83" s="28"/>
    </row>
    <row r="84" spans="1:9">
      <c r="A84" s="40"/>
      <c r="B84" s="183"/>
      <c r="C84" s="28"/>
      <c r="D84" s="28"/>
      <c r="E84" s="28"/>
      <c r="F84" s="119"/>
      <c r="G84" s="28"/>
      <c r="H84" s="28"/>
      <c r="I84" s="28"/>
    </row>
    <row r="85" spans="1:9" ht="15.75">
      <c r="A85" s="6" t="s">
        <v>140</v>
      </c>
      <c r="D85" s="28"/>
      <c r="E85" s="28"/>
      <c r="F85" s="119"/>
      <c r="G85" s="28"/>
      <c r="H85" s="28"/>
      <c r="I85" s="28"/>
    </row>
    <row r="86" spans="1:9">
      <c r="A86" s="98" t="s">
        <v>76</v>
      </c>
      <c r="B86" s="137">
        <f>'D.A. 5'!$B$6</f>
        <v>0</v>
      </c>
      <c r="D86" s="148" t="s">
        <v>80</v>
      </c>
      <c r="E86" s="148"/>
      <c r="F86" s="137">
        <f>IFERROR('D.A. 5'!$G$12,0)</f>
        <v>0</v>
      </c>
      <c r="G86" s="167"/>
      <c r="H86" s="167"/>
      <c r="I86" s="112"/>
    </row>
    <row r="87" spans="1:9">
      <c r="A87" s="98" t="s">
        <v>77</v>
      </c>
      <c r="B87" s="137">
        <f>'D.A. 5'!$B$7</f>
        <v>0</v>
      </c>
      <c r="D87" s="195" t="s">
        <v>110</v>
      </c>
      <c r="E87" s="148"/>
      <c r="F87" s="137" t="str">
        <f>IFERROR('D.A. 5'!$G$17,0)</f>
        <v>NA</v>
      </c>
      <c r="G87" s="28"/>
      <c r="H87" s="28"/>
      <c r="I87" s="28"/>
    </row>
    <row r="88" spans="1:9">
      <c r="A88" s="98" t="s">
        <v>78</v>
      </c>
      <c r="B88" s="137">
        <f>'D.A. 5'!$B$8</f>
        <v>0</v>
      </c>
      <c r="G88" s="32"/>
      <c r="H88" s="32"/>
      <c r="I88" s="170"/>
    </row>
    <row r="89" spans="1:9">
      <c r="A89" s="98" t="s">
        <v>79</v>
      </c>
      <c r="B89" s="137">
        <f>'D.A. 5'!$B$11</f>
        <v>0</v>
      </c>
      <c r="D89" s="83"/>
      <c r="E89" s="83"/>
      <c r="F89" s="119"/>
      <c r="G89" s="28"/>
      <c r="H89" s="28"/>
      <c r="I89" s="28"/>
    </row>
    <row r="90" spans="1:9">
      <c r="A90" s="28"/>
      <c r="B90" s="119"/>
      <c r="C90" s="28"/>
      <c r="D90" s="28"/>
      <c r="E90" s="28"/>
      <c r="F90" s="119"/>
      <c r="G90" s="28"/>
      <c r="H90" s="28"/>
      <c r="I90" s="28"/>
    </row>
    <row r="91" spans="1:9">
      <c r="A91" s="98" t="s">
        <v>53</v>
      </c>
      <c r="B91" s="137">
        <f>'D.A. 5'!$P$66</f>
        <v>0</v>
      </c>
      <c r="C91" s="28"/>
      <c r="D91" s="28"/>
      <c r="E91" s="28"/>
      <c r="F91" s="119"/>
      <c r="G91" s="28"/>
      <c r="H91" s="28"/>
      <c r="I91" s="28"/>
    </row>
    <row r="92" spans="1:9">
      <c r="A92" s="98" t="s">
        <v>54</v>
      </c>
      <c r="B92" s="137">
        <f>IF(F86-B91&gt;0,F86-B91,0)</f>
        <v>0</v>
      </c>
      <c r="C92" s="28"/>
      <c r="D92" s="28"/>
      <c r="E92" s="28"/>
      <c r="F92" s="119"/>
      <c r="G92" s="28"/>
      <c r="H92" s="28"/>
      <c r="I92" s="28"/>
    </row>
    <row r="93" spans="1:9">
      <c r="A93" s="176" t="s">
        <v>97</v>
      </c>
      <c r="B93" s="137">
        <f>B92*7.48</f>
        <v>0</v>
      </c>
      <c r="C93" s="28"/>
      <c r="D93" s="28"/>
      <c r="E93" s="28"/>
      <c r="F93" s="119"/>
      <c r="G93" s="28"/>
      <c r="H93" s="28"/>
      <c r="I93" s="28"/>
    </row>
    <row r="94" spans="1:9">
      <c r="A94" s="87" t="s">
        <v>73</v>
      </c>
      <c r="B94" s="67" t="str">
        <f>IFERROR('D.A. 5'!$P$71,NA())</f>
        <v>Yes</v>
      </c>
      <c r="C94" s="28"/>
      <c r="D94" s="28"/>
      <c r="E94" s="28"/>
      <c r="F94" s="119"/>
      <c r="G94" s="28"/>
      <c r="H94" s="28"/>
      <c r="I94" s="28"/>
    </row>
    <row r="95" spans="1:9">
      <c r="A95" s="87" t="s">
        <v>161</v>
      </c>
      <c r="B95" s="67" t="str">
        <f>IFERROR('D.A. 5'!$P$72,NA())</f>
        <v>N/A</v>
      </c>
      <c r="C95" s="28"/>
      <c r="D95" s="28"/>
      <c r="E95" s="28"/>
      <c r="F95" s="119"/>
      <c r="G95" s="28"/>
      <c r="H95" s="28"/>
      <c r="I95" s="28"/>
    </row>
    <row r="96" spans="1:9">
      <c r="A96" s="28"/>
      <c r="B96" s="119"/>
      <c r="C96" s="28"/>
      <c r="D96" s="28"/>
      <c r="E96" s="28"/>
      <c r="F96" s="119"/>
      <c r="G96" s="28"/>
      <c r="H96" s="28"/>
      <c r="I96" s="28"/>
    </row>
    <row r="97" spans="1:9">
      <c r="A97" s="177" t="str">
        <f>$A$17</f>
        <v>Treatment Required?</v>
      </c>
      <c r="B97" s="182" t="str">
        <f>IFERROR('D.A. 5'!$P$73,NA())</f>
        <v>No</v>
      </c>
      <c r="C97" s="28"/>
      <c r="D97" s="28"/>
      <c r="E97" s="28"/>
      <c r="F97" s="119"/>
      <c r="G97" s="28"/>
      <c r="H97" s="28"/>
      <c r="I97" s="28"/>
    </row>
    <row r="98" spans="1:9">
      <c r="A98" s="177" t="str">
        <f>$A$18</f>
        <v>Volume Treated (cubic feet)</v>
      </c>
      <c r="B98" s="182">
        <f>'D.A. 5'!$T$66</f>
        <v>0</v>
      </c>
      <c r="C98" s="28"/>
      <c r="D98" s="28"/>
      <c r="E98" s="28"/>
      <c r="F98" s="119"/>
      <c r="G98" s="28"/>
      <c r="H98" s="28"/>
      <c r="I98" s="28"/>
    </row>
    <row r="99" spans="1:9">
      <c r="A99" s="177" t="str">
        <f>'D.A. 1'!$S$68</f>
        <v>Volume Remaining to Treat 50% of the SWRv (cubic feet)</v>
      </c>
      <c r="B99" s="182">
        <f>'D.A. 5'!$T$68</f>
        <v>0</v>
      </c>
      <c r="C99" s="28"/>
      <c r="D99" s="28"/>
      <c r="E99" s="28"/>
      <c r="F99" s="119"/>
      <c r="G99" s="28"/>
      <c r="H99" s="28"/>
      <c r="I99" s="28"/>
    </row>
    <row r="100" spans="1:9">
      <c r="A100" s="177" t="str">
        <f>'D.A. 1'!$S$69</f>
        <v>Volume Remaining to Treat 50% of the SWRv (gallons)</v>
      </c>
      <c r="B100" s="182">
        <f>'D.A. 5'!$T$69</f>
        <v>0</v>
      </c>
      <c r="C100" s="28"/>
      <c r="D100" s="28"/>
      <c r="E100" s="28"/>
      <c r="F100" s="119"/>
      <c r="G100" s="28"/>
      <c r="H100" s="28"/>
      <c r="I100" s="28"/>
    </row>
    <row r="101" spans="1:9">
      <c r="A101" s="177" t="str">
        <f>'D.A. 1'!$S$71</f>
        <v>Volume Remaining to Treat WQTv (cubic feet)</v>
      </c>
      <c r="B101" s="182" t="str">
        <f>'D.A. 5'!$T$71</f>
        <v>N/A</v>
      </c>
      <c r="C101" s="28"/>
      <c r="D101" s="28"/>
      <c r="E101" s="28"/>
      <c r="F101" s="119"/>
      <c r="G101" s="28"/>
      <c r="H101" s="28"/>
      <c r="I101" s="28"/>
    </row>
    <row r="102" spans="1:9">
      <c r="A102" s="177" t="str">
        <f>'D.A. 1'!$S$72</f>
        <v>Volume Remaining to Treat WQTv (gallons)</v>
      </c>
      <c r="B102" s="182" t="str">
        <f>'D.A. 5'!$T$72</f>
        <v>N/A</v>
      </c>
      <c r="C102" s="28"/>
      <c r="D102" s="28"/>
      <c r="E102" s="28"/>
      <c r="F102" s="119"/>
      <c r="G102" s="28"/>
      <c r="H102" s="28"/>
      <c r="I102" s="28"/>
    </row>
    <row r="103" spans="1:9">
      <c r="A103" s="40"/>
      <c r="B103" s="183"/>
      <c r="C103" s="28"/>
      <c r="D103" s="28"/>
      <c r="E103" s="28"/>
      <c r="F103" s="119"/>
      <c r="G103" s="28"/>
      <c r="H103" s="28"/>
      <c r="I103" s="28"/>
    </row>
    <row r="104" spans="1:9">
      <c r="A104" s="40"/>
      <c r="B104" s="183"/>
      <c r="C104" s="28"/>
      <c r="D104" s="28"/>
      <c r="E104" s="28"/>
      <c r="F104" s="119"/>
      <c r="G104" s="28"/>
      <c r="H104" s="28"/>
      <c r="I104" s="28"/>
    </row>
    <row r="105" spans="1:9" ht="15.75">
      <c r="A105" s="6" t="s">
        <v>199</v>
      </c>
      <c r="D105" s="28"/>
      <c r="E105" s="28"/>
      <c r="F105" s="119"/>
      <c r="G105" s="28"/>
      <c r="H105" s="28"/>
      <c r="I105" s="28"/>
    </row>
    <row r="106" spans="1:9">
      <c r="A106" s="98" t="s">
        <v>76</v>
      </c>
      <c r="B106" s="137">
        <f>'D.A. 6'!$B$6</f>
        <v>0</v>
      </c>
      <c r="D106" s="148" t="s">
        <v>80</v>
      </c>
      <c r="E106" s="148"/>
      <c r="F106" s="137">
        <f>IFERROR('D.A. 6'!$G$12,0)</f>
        <v>0</v>
      </c>
      <c r="G106" s="167"/>
      <c r="H106" s="167"/>
      <c r="I106" s="112"/>
    </row>
    <row r="107" spans="1:9">
      <c r="A107" s="98" t="s">
        <v>77</v>
      </c>
      <c r="B107" s="137">
        <f>'D.A. 6'!$B$7</f>
        <v>0</v>
      </c>
      <c r="D107" s="195" t="s">
        <v>110</v>
      </c>
      <c r="E107" s="148"/>
      <c r="F107" s="137" t="str">
        <f>IFERROR('D.A. 6'!$G$17,0)</f>
        <v>NA</v>
      </c>
      <c r="G107" s="28"/>
      <c r="H107" s="28"/>
      <c r="I107" s="28"/>
    </row>
    <row r="108" spans="1:9">
      <c r="A108" s="98" t="s">
        <v>78</v>
      </c>
      <c r="B108" s="137">
        <f>'D.A. 6'!$B$8</f>
        <v>0</v>
      </c>
      <c r="G108" s="32"/>
      <c r="H108" s="32"/>
      <c r="I108" s="170"/>
    </row>
    <row r="109" spans="1:9">
      <c r="A109" s="98" t="s">
        <v>79</v>
      </c>
      <c r="B109" s="137">
        <f>'D.A. 6'!$B$11</f>
        <v>0</v>
      </c>
      <c r="D109" s="83"/>
      <c r="E109" s="83"/>
      <c r="F109" s="119"/>
      <c r="G109" s="28"/>
      <c r="H109" s="28"/>
      <c r="I109" s="28"/>
    </row>
    <row r="110" spans="1:9">
      <c r="A110" s="28"/>
      <c r="B110" s="119"/>
      <c r="C110" s="28"/>
      <c r="D110" s="28"/>
      <c r="E110" s="28"/>
      <c r="F110" s="119"/>
      <c r="G110" s="28"/>
      <c r="H110" s="28"/>
      <c r="I110" s="28"/>
    </row>
    <row r="111" spans="1:9">
      <c r="A111" s="98" t="s">
        <v>53</v>
      </c>
      <c r="B111" s="137">
        <f>'D.A. 6'!$P$66</f>
        <v>0</v>
      </c>
      <c r="C111" s="28"/>
      <c r="D111" s="28"/>
      <c r="E111" s="28"/>
      <c r="F111" s="119"/>
      <c r="G111" s="28"/>
      <c r="H111" s="28"/>
      <c r="I111" s="28"/>
    </row>
    <row r="112" spans="1:9">
      <c r="A112" s="98" t="s">
        <v>54</v>
      </c>
      <c r="B112" s="137">
        <f>IF(F106-B111&gt;0,F106-B111,0)</f>
        <v>0</v>
      </c>
      <c r="C112" s="28"/>
      <c r="D112" s="28"/>
      <c r="E112" s="28"/>
      <c r="F112" s="119"/>
      <c r="G112" s="28"/>
      <c r="H112" s="28"/>
      <c r="I112" s="28"/>
    </row>
    <row r="113" spans="1:9">
      <c r="A113" s="176" t="s">
        <v>97</v>
      </c>
      <c r="B113" s="137">
        <f>B112*7.48</f>
        <v>0</v>
      </c>
      <c r="C113" s="28"/>
      <c r="D113" s="28"/>
      <c r="E113" s="28"/>
      <c r="F113" s="119"/>
      <c r="G113" s="28"/>
      <c r="H113" s="28"/>
      <c r="I113" s="28"/>
    </row>
    <row r="114" spans="1:9">
      <c r="A114" s="87" t="s">
        <v>73</v>
      </c>
      <c r="B114" s="67" t="str">
        <f>IFERROR('D.A. 6'!$P$71,NA())</f>
        <v>Yes</v>
      </c>
      <c r="C114" s="28"/>
      <c r="D114" s="28"/>
      <c r="E114" s="28"/>
      <c r="F114" s="119"/>
      <c r="G114" s="28"/>
      <c r="H114" s="28"/>
      <c r="I114" s="28"/>
    </row>
    <row r="115" spans="1:9">
      <c r="A115" s="87" t="s">
        <v>161</v>
      </c>
      <c r="B115" s="67" t="str">
        <f>IFERROR('D.A. 6'!$P$72,NA())</f>
        <v>N/A</v>
      </c>
      <c r="C115" s="28"/>
      <c r="D115" s="28"/>
      <c r="E115" s="28"/>
      <c r="F115" s="119"/>
      <c r="G115" s="28"/>
      <c r="H115" s="28"/>
      <c r="I115" s="28"/>
    </row>
    <row r="116" spans="1:9">
      <c r="A116" s="28"/>
      <c r="B116" s="119"/>
      <c r="C116" s="28"/>
      <c r="D116" s="28"/>
      <c r="E116" s="28"/>
      <c r="F116" s="119"/>
      <c r="G116" s="28"/>
      <c r="H116" s="28"/>
      <c r="I116" s="28"/>
    </row>
    <row r="117" spans="1:9">
      <c r="A117" s="177" t="str">
        <f>$A$17</f>
        <v>Treatment Required?</v>
      </c>
      <c r="B117" s="182" t="str">
        <f>IFERROR('D.A. 6'!$P$73,NA())</f>
        <v>No</v>
      </c>
      <c r="C117" s="28"/>
      <c r="D117" s="28"/>
      <c r="E117" s="28"/>
      <c r="F117" s="119"/>
      <c r="G117" s="28"/>
      <c r="H117" s="28"/>
      <c r="I117" s="28"/>
    </row>
    <row r="118" spans="1:9">
      <c r="A118" s="177" t="str">
        <f>$A$18</f>
        <v>Volume Treated (cubic feet)</v>
      </c>
      <c r="B118" s="182">
        <f>'D.A. 6'!$T$66</f>
        <v>0</v>
      </c>
      <c r="C118" s="28"/>
      <c r="D118" s="28"/>
      <c r="E118" s="28"/>
      <c r="F118" s="119"/>
      <c r="G118" s="28"/>
      <c r="H118" s="28"/>
      <c r="I118" s="28"/>
    </row>
    <row r="119" spans="1:9">
      <c r="A119" s="177" t="str">
        <f>'D.A. 1'!$S$68</f>
        <v>Volume Remaining to Treat 50% of the SWRv (cubic feet)</v>
      </c>
      <c r="B119" s="182">
        <f>'D.A. 6'!$T$68</f>
        <v>0</v>
      </c>
      <c r="C119" s="28"/>
      <c r="D119" s="28"/>
      <c r="E119" s="28"/>
      <c r="F119" s="119"/>
      <c r="G119" s="28"/>
      <c r="H119" s="28"/>
      <c r="I119" s="28"/>
    </row>
    <row r="120" spans="1:9">
      <c r="A120" s="177" t="str">
        <f>'D.A. 1'!$S$69</f>
        <v>Volume Remaining to Treat 50% of the SWRv (gallons)</v>
      </c>
      <c r="B120" s="182">
        <f>'D.A. 6'!$T$69</f>
        <v>0</v>
      </c>
      <c r="C120" s="28"/>
      <c r="D120" s="28"/>
      <c r="E120" s="28"/>
      <c r="F120" s="119"/>
      <c r="G120" s="28"/>
      <c r="H120" s="28"/>
      <c r="I120" s="28"/>
    </row>
    <row r="121" spans="1:9">
      <c r="A121" s="177" t="str">
        <f>'D.A. 1'!$S$71</f>
        <v>Volume Remaining to Treat WQTv (cubic feet)</v>
      </c>
      <c r="B121" s="182" t="str">
        <f>'D.A. 6'!$T$71</f>
        <v>N/A</v>
      </c>
      <c r="C121" s="28"/>
      <c r="D121" s="28"/>
      <c r="E121" s="28"/>
      <c r="F121" s="119"/>
      <c r="G121" s="28"/>
      <c r="H121" s="28"/>
      <c r="I121" s="28"/>
    </row>
    <row r="122" spans="1:9">
      <c r="A122" s="177" t="str">
        <f>'D.A. 1'!$S$72</f>
        <v>Volume Remaining to Treat WQTv (gallons)</v>
      </c>
      <c r="B122" s="182" t="str">
        <f>'D.A. 6'!$T$72</f>
        <v>N/A</v>
      </c>
      <c r="C122" s="28"/>
      <c r="D122" s="28"/>
      <c r="E122" s="28"/>
      <c r="F122" s="119"/>
      <c r="G122" s="28"/>
      <c r="H122" s="28"/>
      <c r="I122" s="28"/>
    </row>
    <row r="123" spans="1:9">
      <c r="A123" s="40"/>
      <c r="B123" s="183"/>
      <c r="C123" s="28"/>
      <c r="D123" s="28"/>
      <c r="E123" s="28"/>
      <c r="F123" s="119"/>
      <c r="G123" s="28"/>
      <c r="H123" s="28"/>
      <c r="I123" s="28"/>
    </row>
    <row r="124" spans="1:9">
      <c r="A124" s="40"/>
      <c r="B124" s="183"/>
      <c r="C124" s="28"/>
      <c r="D124" s="28"/>
      <c r="E124" s="28"/>
      <c r="F124" s="119"/>
      <c r="G124" s="28"/>
      <c r="H124" s="28"/>
      <c r="I124" s="28"/>
    </row>
    <row r="125" spans="1:9" ht="15.75">
      <c r="A125" s="6" t="s">
        <v>198</v>
      </c>
      <c r="D125" s="28"/>
      <c r="E125" s="28"/>
      <c r="F125" s="119"/>
      <c r="G125" s="28"/>
      <c r="H125" s="28"/>
      <c r="I125" s="28"/>
    </row>
    <row r="126" spans="1:9">
      <c r="A126" s="98" t="s">
        <v>76</v>
      </c>
      <c r="B126" s="137">
        <f>'D.A. 7'!$B$6</f>
        <v>0</v>
      </c>
      <c r="D126" s="148" t="s">
        <v>80</v>
      </c>
      <c r="E126" s="148"/>
      <c r="F126" s="137">
        <f>IFERROR('D.A. 7'!$G$12,0)</f>
        <v>0</v>
      </c>
      <c r="G126" s="167"/>
      <c r="H126" s="167"/>
      <c r="I126" s="112"/>
    </row>
    <row r="127" spans="1:9">
      <c r="A127" s="98" t="s">
        <v>77</v>
      </c>
      <c r="B127" s="137">
        <f>'D.A. 7'!$B$7</f>
        <v>0</v>
      </c>
      <c r="D127" s="195" t="s">
        <v>110</v>
      </c>
      <c r="E127" s="148"/>
      <c r="F127" s="137" t="str">
        <f>IFERROR('D.A. 7'!$G$17,0)</f>
        <v>NA</v>
      </c>
      <c r="G127" s="28"/>
      <c r="H127" s="28"/>
      <c r="I127" s="28"/>
    </row>
    <row r="128" spans="1:9">
      <c r="A128" s="98" t="s">
        <v>78</v>
      </c>
      <c r="B128" s="137">
        <f>'D.A. 7'!$B$8</f>
        <v>0</v>
      </c>
      <c r="G128" s="32"/>
      <c r="H128" s="32"/>
      <c r="I128" s="170"/>
    </row>
    <row r="129" spans="1:9">
      <c r="A129" s="98" t="s">
        <v>79</v>
      </c>
      <c r="B129" s="137">
        <f>'D.A. 7'!$B$11</f>
        <v>0</v>
      </c>
      <c r="D129" s="83"/>
      <c r="E129" s="83"/>
      <c r="F129" s="119"/>
      <c r="G129" s="28"/>
      <c r="H129" s="28"/>
      <c r="I129" s="28"/>
    </row>
    <row r="130" spans="1:9">
      <c r="A130" s="28"/>
      <c r="B130" s="119"/>
      <c r="C130" s="28"/>
      <c r="D130" s="28"/>
      <c r="E130" s="28"/>
      <c r="F130" s="119"/>
      <c r="G130" s="28"/>
      <c r="H130" s="28"/>
      <c r="I130" s="28"/>
    </row>
    <row r="131" spans="1:9">
      <c r="A131" s="98" t="s">
        <v>53</v>
      </c>
      <c r="B131" s="137">
        <f>'D.A. 7'!$P$66</f>
        <v>0</v>
      </c>
      <c r="C131" s="28"/>
      <c r="D131" s="28"/>
      <c r="E131" s="28"/>
      <c r="F131" s="119"/>
      <c r="G131" s="28"/>
      <c r="H131" s="28"/>
      <c r="I131" s="28"/>
    </row>
    <row r="132" spans="1:9">
      <c r="A132" s="98" t="s">
        <v>54</v>
      </c>
      <c r="B132" s="137">
        <f>IF(F126-B131&gt;0,F126-B131,0)</f>
        <v>0</v>
      </c>
      <c r="C132" s="28"/>
      <c r="D132" s="28"/>
      <c r="E132" s="28"/>
      <c r="F132" s="119"/>
      <c r="G132" s="28"/>
      <c r="H132" s="28"/>
      <c r="I132" s="28"/>
    </row>
    <row r="133" spans="1:9">
      <c r="A133" s="176" t="s">
        <v>97</v>
      </c>
      <c r="B133" s="137">
        <f>B132*7.48</f>
        <v>0</v>
      </c>
      <c r="C133" s="28"/>
      <c r="D133" s="28"/>
      <c r="E133" s="28"/>
      <c r="F133" s="119"/>
      <c r="G133" s="28"/>
      <c r="H133" s="28"/>
      <c r="I133" s="28"/>
    </row>
    <row r="134" spans="1:9">
      <c r="A134" s="87" t="s">
        <v>73</v>
      </c>
      <c r="B134" s="67" t="str">
        <f>IFERROR('D.A. 7'!$P$71,NA())</f>
        <v>Yes</v>
      </c>
      <c r="C134" s="28"/>
      <c r="D134" s="28"/>
      <c r="E134" s="28"/>
      <c r="F134" s="119"/>
      <c r="G134" s="28"/>
      <c r="H134" s="28"/>
      <c r="I134" s="28"/>
    </row>
    <row r="135" spans="1:9">
      <c r="A135" s="87" t="s">
        <v>161</v>
      </c>
      <c r="B135" s="67" t="str">
        <f>IFERROR('D.A. 7'!$P$72,NA())</f>
        <v>N/A</v>
      </c>
      <c r="C135" s="28"/>
      <c r="D135" s="28"/>
      <c r="E135" s="28"/>
      <c r="F135" s="119"/>
      <c r="G135" s="28"/>
      <c r="H135" s="28"/>
      <c r="I135" s="28"/>
    </row>
    <row r="136" spans="1:9">
      <c r="A136" s="28"/>
      <c r="B136" s="119"/>
      <c r="C136" s="28"/>
      <c r="D136" s="28"/>
      <c r="E136" s="28"/>
      <c r="F136" s="119"/>
      <c r="G136" s="28"/>
      <c r="H136" s="28"/>
      <c r="I136" s="28"/>
    </row>
    <row r="137" spans="1:9">
      <c r="A137" s="177" t="str">
        <f>$A$17</f>
        <v>Treatment Required?</v>
      </c>
      <c r="B137" s="182" t="str">
        <f>IFERROR('D.A. 7'!$P$73,NA())</f>
        <v>No</v>
      </c>
      <c r="C137" s="28"/>
      <c r="D137" s="28"/>
      <c r="E137" s="28"/>
      <c r="F137" s="119"/>
      <c r="G137" s="28"/>
      <c r="H137" s="28"/>
      <c r="I137" s="28"/>
    </row>
    <row r="138" spans="1:9">
      <c r="A138" s="177" t="str">
        <f>$A$18</f>
        <v>Volume Treated (cubic feet)</v>
      </c>
      <c r="B138" s="182">
        <f>'D.A. 7'!$T$66</f>
        <v>0</v>
      </c>
      <c r="C138" s="28"/>
      <c r="D138" s="28"/>
      <c r="E138" s="28"/>
      <c r="F138" s="119"/>
      <c r="G138" s="28"/>
      <c r="H138" s="28"/>
      <c r="I138" s="28"/>
    </row>
    <row r="139" spans="1:9">
      <c r="A139" s="177" t="str">
        <f>'D.A. 1'!$S$68</f>
        <v>Volume Remaining to Treat 50% of the SWRv (cubic feet)</v>
      </c>
      <c r="B139" s="182">
        <f>'D.A. 7'!$T$68</f>
        <v>0</v>
      </c>
      <c r="C139" s="28"/>
      <c r="D139" s="28"/>
      <c r="E139" s="28"/>
      <c r="F139" s="119"/>
      <c r="G139" s="28"/>
      <c r="H139" s="28"/>
      <c r="I139" s="28"/>
    </row>
    <row r="140" spans="1:9">
      <c r="A140" s="177" t="str">
        <f>'D.A. 1'!$S$69</f>
        <v>Volume Remaining to Treat 50% of the SWRv (gallons)</v>
      </c>
      <c r="B140" s="182">
        <f>'D.A. 7'!$T$69</f>
        <v>0</v>
      </c>
      <c r="C140" s="28"/>
      <c r="D140" s="28"/>
      <c r="E140" s="28"/>
      <c r="F140" s="119"/>
      <c r="G140" s="28"/>
      <c r="H140" s="28"/>
      <c r="I140" s="28"/>
    </row>
    <row r="141" spans="1:9">
      <c r="A141" s="177" t="str">
        <f>'D.A. 1'!$S$71</f>
        <v>Volume Remaining to Treat WQTv (cubic feet)</v>
      </c>
      <c r="B141" s="182" t="str">
        <f>'D.A. 7'!$T$71</f>
        <v>N/A</v>
      </c>
      <c r="C141" s="28"/>
      <c r="D141" s="28"/>
      <c r="E141" s="28"/>
      <c r="F141" s="119"/>
      <c r="G141" s="28"/>
      <c r="H141" s="28"/>
      <c r="I141" s="28"/>
    </row>
    <row r="142" spans="1:9">
      <c r="A142" s="177" t="str">
        <f>'D.A. 1'!$S$72</f>
        <v>Volume Remaining to Treat WQTv (gallons)</v>
      </c>
      <c r="B142" s="182" t="str">
        <f>'D.A. 7'!$T$72</f>
        <v>N/A</v>
      </c>
      <c r="C142" s="28"/>
      <c r="D142" s="28"/>
      <c r="E142" s="28"/>
      <c r="F142" s="119"/>
      <c r="G142" s="28"/>
      <c r="H142" s="28"/>
      <c r="I142" s="28"/>
    </row>
    <row r="143" spans="1:9">
      <c r="A143" s="40"/>
      <c r="B143" s="183"/>
      <c r="C143" s="28"/>
      <c r="D143" s="28"/>
      <c r="E143" s="28"/>
      <c r="F143" s="119"/>
      <c r="G143" s="28"/>
      <c r="H143" s="28"/>
      <c r="I143" s="28"/>
    </row>
    <row r="144" spans="1:9">
      <c r="A144" s="40"/>
      <c r="B144" s="183"/>
      <c r="C144" s="28"/>
      <c r="D144" s="28"/>
      <c r="E144" s="28"/>
      <c r="F144" s="119"/>
      <c r="G144" s="28"/>
      <c r="H144" s="28"/>
      <c r="I144" s="28"/>
    </row>
    <row r="145" spans="1:9" ht="15.75">
      <c r="A145" s="6" t="s">
        <v>197</v>
      </c>
      <c r="D145" s="28"/>
      <c r="E145" s="28"/>
      <c r="F145" s="119"/>
      <c r="G145" s="28"/>
      <c r="H145" s="28"/>
      <c r="I145" s="28"/>
    </row>
    <row r="146" spans="1:9">
      <c r="A146" s="98" t="s">
        <v>76</v>
      </c>
      <c r="B146" s="137">
        <f>'D.A. 8'!$B$6</f>
        <v>0</v>
      </c>
      <c r="D146" s="148" t="s">
        <v>80</v>
      </c>
      <c r="E146" s="148"/>
      <c r="F146" s="137">
        <f>IFERROR('D.A. 8'!$G$12,0)</f>
        <v>0</v>
      </c>
      <c r="G146" s="167"/>
      <c r="H146" s="167"/>
      <c r="I146" s="112"/>
    </row>
    <row r="147" spans="1:9">
      <c r="A147" s="98" t="s">
        <v>77</v>
      </c>
      <c r="B147" s="137">
        <f>'D.A. 8'!$B$7</f>
        <v>0</v>
      </c>
      <c r="D147" s="195" t="s">
        <v>110</v>
      </c>
      <c r="E147" s="148"/>
      <c r="F147" s="137" t="str">
        <f>IFERROR('D.A. 8'!$G$17,0)</f>
        <v>NA</v>
      </c>
      <c r="G147" s="28"/>
      <c r="H147" s="28"/>
      <c r="I147" s="28"/>
    </row>
    <row r="148" spans="1:9">
      <c r="A148" s="98" t="s">
        <v>78</v>
      </c>
      <c r="B148" s="137">
        <f>'D.A. 8'!$B$8</f>
        <v>0</v>
      </c>
      <c r="G148" s="32"/>
      <c r="H148" s="32"/>
      <c r="I148" s="170"/>
    </row>
    <row r="149" spans="1:9">
      <c r="A149" s="98" t="s">
        <v>79</v>
      </c>
      <c r="B149" s="137">
        <f>'D.A. 8'!$B$11</f>
        <v>0</v>
      </c>
      <c r="D149" s="83"/>
      <c r="E149" s="83"/>
      <c r="F149" s="119"/>
      <c r="G149" s="28"/>
      <c r="H149" s="28"/>
      <c r="I149" s="28"/>
    </row>
    <row r="150" spans="1:9">
      <c r="A150" s="28"/>
      <c r="B150" s="119"/>
      <c r="C150" s="28"/>
      <c r="D150" s="28"/>
      <c r="E150" s="28"/>
      <c r="F150" s="119"/>
      <c r="G150" s="28"/>
      <c r="H150" s="28"/>
      <c r="I150" s="28"/>
    </row>
    <row r="151" spans="1:9">
      <c r="A151" s="98" t="s">
        <v>53</v>
      </c>
      <c r="B151" s="137">
        <f>'D.A. 8'!$P$66</f>
        <v>0</v>
      </c>
      <c r="C151" s="28"/>
      <c r="D151" s="28"/>
      <c r="E151" s="28"/>
      <c r="F151" s="119"/>
      <c r="G151" s="28"/>
      <c r="H151" s="28"/>
      <c r="I151" s="28"/>
    </row>
    <row r="152" spans="1:9">
      <c r="A152" s="98" t="s">
        <v>54</v>
      </c>
      <c r="B152" s="137">
        <f>IF(F146-B151&gt;0,F146-B151,0)</f>
        <v>0</v>
      </c>
      <c r="C152" s="28"/>
      <c r="D152" s="28"/>
      <c r="E152" s="28"/>
      <c r="F152" s="119"/>
      <c r="G152" s="28"/>
      <c r="H152" s="28"/>
      <c r="I152" s="28"/>
    </row>
    <row r="153" spans="1:9">
      <c r="A153" s="176" t="s">
        <v>97</v>
      </c>
      <c r="B153" s="137">
        <f>B152*7.48</f>
        <v>0</v>
      </c>
      <c r="C153" s="28"/>
      <c r="D153" s="28"/>
      <c r="E153" s="28"/>
      <c r="F153" s="119"/>
      <c r="G153" s="28"/>
      <c r="H153" s="28"/>
      <c r="I153" s="28"/>
    </row>
    <row r="154" spans="1:9">
      <c r="A154" s="87" t="s">
        <v>73</v>
      </c>
      <c r="B154" s="67" t="str">
        <f>IFERROR('D.A. 8'!$P$71,NA())</f>
        <v>Yes</v>
      </c>
      <c r="C154" s="28"/>
      <c r="D154" s="28"/>
      <c r="E154" s="28"/>
      <c r="F154" s="119"/>
      <c r="G154" s="28"/>
      <c r="H154" s="28"/>
      <c r="I154" s="28"/>
    </row>
    <row r="155" spans="1:9">
      <c r="A155" s="87" t="s">
        <v>161</v>
      </c>
      <c r="B155" s="67" t="str">
        <f>IFERROR('D.A. 8'!$P$72,NA())</f>
        <v>N/A</v>
      </c>
      <c r="C155" s="28"/>
      <c r="D155" s="28"/>
      <c r="E155" s="28"/>
      <c r="F155" s="119"/>
      <c r="G155" s="28"/>
      <c r="H155" s="28"/>
      <c r="I155" s="28"/>
    </row>
    <row r="156" spans="1:9">
      <c r="A156" s="28"/>
      <c r="B156" s="119"/>
      <c r="C156" s="28"/>
      <c r="D156" s="28"/>
      <c r="E156" s="28"/>
      <c r="F156" s="119"/>
      <c r="G156" s="28"/>
      <c r="H156" s="28"/>
      <c r="I156" s="28"/>
    </row>
    <row r="157" spans="1:9">
      <c r="A157" s="177" t="str">
        <f>$A$17</f>
        <v>Treatment Required?</v>
      </c>
      <c r="B157" s="182" t="str">
        <f>IFERROR('D.A. 8'!$P$73,NA())</f>
        <v>No</v>
      </c>
      <c r="C157" s="28"/>
      <c r="D157" s="28"/>
      <c r="E157" s="28"/>
      <c r="F157" s="119"/>
      <c r="G157" s="28"/>
      <c r="H157" s="28"/>
      <c r="I157" s="28"/>
    </row>
    <row r="158" spans="1:9">
      <c r="A158" s="177" t="str">
        <f>$A$18</f>
        <v>Volume Treated (cubic feet)</v>
      </c>
      <c r="B158" s="182">
        <f>'D.A. 8'!$T$66</f>
        <v>0</v>
      </c>
      <c r="C158" s="28"/>
      <c r="D158" s="28"/>
      <c r="E158" s="28"/>
      <c r="F158" s="119"/>
      <c r="G158" s="28"/>
      <c r="H158" s="28"/>
      <c r="I158" s="28"/>
    </row>
    <row r="159" spans="1:9">
      <c r="A159" s="177" t="str">
        <f>'D.A. 1'!$S$68</f>
        <v>Volume Remaining to Treat 50% of the SWRv (cubic feet)</v>
      </c>
      <c r="B159" s="182">
        <f>'D.A. 8'!$T$68</f>
        <v>0</v>
      </c>
      <c r="C159" s="28"/>
      <c r="D159" s="28"/>
      <c r="E159" s="28"/>
      <c r="F159" s="119"/>
      <c r="G159" s="28"/>
      <c r="H159" s="28"/>
      <c r="I159" s="28"/>
    </row>
    <row r="160" spans="1:9">
      <c r="A160" s="177" t="str">
        <f>'D.A. 1'!$S$69</f>
        <v>Volume Remaining to Treat 50% of the SWRv (gallons)</v>
      </c>
      <c r="B160" s="182">
        <f>'D.A. 8'!$T$69</f>
        <v>0</v>
      </c>
      <c r="C160" s="28"/>
      <c r="D160" s="28"/>
      <c r="E160" s="28"/>
      <c r="F160" s="119"/>
      <c r="G160" s="28"/>
      <c r="H160" s="28"/>
      <c r="I160" s="28"/>
    </row>
    <row r="161" spans="1:9">
      <c r="A161" s="177" t="str">
        <f>'D.A. 1'!$S$71</f>
        <v>Volume Remaining to Treat WQTv (cubic feet)</v>
      </c>
      <c r="B161" s="182" t="str">
        <f>'D.A. 8'!$T$71</f>
        <v>N/A</v>
      </c>
      <c r="C161" s="28"/>
      <c r="D161" s="28"/>
      <c r="E161" s="28"/>
      <c r="F161" s="119"/>
      <c r="G161" s="28"/>
      <c r="H161" s="28"/>
      <c r="I161" s="28"/>
    </row>
    <row r="162" spans="1:9">
      <c r="A162" s="177" t="str">
        <f>'D.A. 1'!$S$72</f>
        <v>Volume Remaining to Treat WQTv (gallons)</v>
      </c>
      <c r="B162" s="182" t="str">
        <f>'D.A. 8'!$T$72</f>
        <v>N/A</v>
      </c>
      <c r="C162" s="28"/>
      <c r="D162" s="28"/>
      <c r="E162" s="28"/>
      <c r="F162" s="119"/>
      <c r="G162" s="28"/>
      <c r="H162" s="28"/>
      <c r="I162" s="28"/>
    </row>
    <row r="163" spans="1:9">
      <c r="A163" s="40"/>
      <c r="B163" s="183"/>
      <c r="C163" s="28"/>
      <c r="D163" s="28"/>
      <c r="E163" s="28"/>
      <c r="F163" s="119"/>
      <c r="G163" s="28"/>
      <c r="H163" s="28"/>
      <c r="I163" s="28"/>
    </row>
    <row r="164" spans="1:9">
      <c r="A164" s="40"/>
      <c r="B164" s="183"/>
      <c r="C164" s="28"/>
      <c r="D164" s="28"/>
      <c r="E164" s="28"/>
      <c r="F164" s="119"/>
      <c r="G164" s="28"/>
      <c r="H164" s="28"/>
      <c r="I164" s="28"/>
    </row>
    <row r="165" spans="1:9" ht="15.75">
      <c r="A165" s="6" t="s">
        <v>196</v>
      </c>
      <c r="D165" s="28"/>
      <c r="E165" s="28"/>
      <c r="F165" s="119"/>
      <c r="G165" s="28"/>
      <c r="H165" s="28"/>
      <c r="I165" s="28"/>
    </row>
    <row r="166" spans="1:9">
      <c r="A166" s="98" t="s">
        <v>76</v>
      </c>
      <c r="B166" s="137">
        <f>'D.A. 9'!$B$6</f>
        <v>0</v>
      </c>
      <c r="D166" s="148" t="s">
        <v>80</v>
      </c>
      <c r="E166" s="148"/>
      <c r="F166" s="137">
        <f>IFERROR('D.A. 9'!$G$12,0)</f>
        <v>0</v>
      </c>
      <c r="G166" s="167"/>
      <c r="H166" s="167"/>
      <c r="I166" s="112"/>
    </row>
    <row r="167" spans="1:9">
      <c r="A167" s="98" t="s">
        <v>77</v>
      </c>
      <c r="B167" s="137">
        <f>'D.A. 9'!$B$7</f>
        <v>0</v>
      </c>
      <c r="D167" s="195" t="s">
        <v>110</v>
      </c>
      <c r="E167" s="148"/>
      <c r="F167" s="137" t="str">
        <f>IFERROR('D.A. 9'!$G$17,0)</f>
        <v>NA</v>
      </c>
      <c r="G167" s="28"/>
      <c r="H167" s="28"/>
      <c r="I167" s="28"/>
    </row>
    <row r="168" spans="1:9">
      <c r="A168" s="98" t="s">
        <v>78</v>
      </c>
      <c r="B168" s="137">
        <f>'D.A. 9'!$B$8</f>
        <v>0</v>
      </c>
      <c r="G168" s="32"/>
      <c r="H168" s="32"/>
      <c r="I168" s="170"/>
    </row>
    <row r="169" spans="1:9">
      <c r="A169" s="98" t="s">
        <v>79</v>
      </c>
      <c r="B169" s="137">
        <f>'D.A. 9'!$B$11</f>
        <v>0</v>
      </c>
      <c r="D169" s="83"/>
      <c r="E169" s="83"/>
      <c r="F169" s="119"/>
      <c r="G169" s="28"/>
      <c r="H169" s="28"/>
      <c r="I169" s="28"/>
    </row>
    <row r="170" spans="1:9">
      <c r="A170" s="28"/>
      <c r="B170" s="119"/>
      <c r="C170" s="28"/>
      <c r="D170" s="28"/>
      <c r="E170" s="28"/>
      <c r="F170" s="119"/>
      <c r="G170" s="28"/>
      <c r="H170" s="28"/>
      <c r="I170" s="28"/>
    </row>
    <row r="171" spans="1:9">
      <c r="A171" s="98" t="s">
        <v>53</v>
      </c>
      <c r="B171" s="137">
        <f>'D.A. 9'!$P$66</f>
        <v>0</v>
      </c>
      <c r="C171" s="28"/>
      <c r="D171" s="28"/>
      <c r="E171" s="28"/>
      <c r="F171" s="119"/>
      <c r="G171" s="28"/>
      <c r="H171" s="28"/>
      <c r="I171" s="28"/>
    </row>
    <row r="172" spans="1:9">
      <c r="A172" s="98" t="s">
        <v>54</v>
      </c>
      <c r="B172" s="137">
        <f>IF(F166-B171&gt;0,F166-B171,0)</f>
        <v>0</v>
      </c>
      <c r="C172" s="28"/>
      <c r="D172" s="28"/>
      <c r="E172" s="28"/>
      <c r="F172" s="119"/>
      <c r="G172" s="28"/>
      <c r="H172" s="28"/>
      <c r="I172" s="28"/>
    </row>
    <row r="173" spans="1:9">
      <c r="A173" s="176" t="s">
        <v>97</v>
      </c>
      <c r="B173" s="137">
        <f>B172*7.48</f>
        <v>0</v>
      </c>
      <c r="C173" s="28"/>
      <c r="D173" s="28"/>
      <c r="E173" s="28"/>
      <c r="F173" s="119"/>
      <c r="G173" s="28"/>
      <c r="H173" s="28"/>
      <c r="I173" s="28"/>
    </row>
    <row r="174" spans="1:9">
      <c r="A174" s="87" t="s">
        <v>73</v>
      </c>
      <c r="B174" s="67" t="str">
        <f>IFERROR('D.A. 9'!$P$71,NA())</f>
        <v>Yes</v>
      </c>
      <c r="C174" s="28"/>
      <c r="D174" s="28"/>
      <c r="E174" s="28"/>
      <c r="F174" s="119"/>
      <c r="G174" s="28"/>
      <c r="H174" s="28"/>
      <c r="I174" s="28"/>
    </row>
    <row r="175" spans="1:9">
      <c r="A175" s="87" t="s">
        <v>161</v>
      </c>
      <c r="B175" s="67" t="str">
        <f>IFERROR('D.A. 9'!$P$72,NA())</f>
        <v>N/A</v>
      </c>
      <c r="C175" s="28"/>
      <c r="D175" s="28"/>
      <c r="E175" s="28"/>
      <c r="F175" s="119"/>
      <c r="G175" s="28"/>
      <c r="H175" s="28"/>
      <c r="I175" s="28"/>
    </row>
    <row r="176" spans="1:9">
      <c r="A176" s="28"/>
      <c r="B176" s="119"/>
      <c r="C176" s="28"/>
      <c r="D176" s="28"/>
      <c r="E176" s="28"/>
      <c r="F176" s="119"/>
      <c r="G176" s="28"/>
      <c r="H176" s="28"/>
      <c r="I176" s="28"/>
    </row>
    <row r="177" spans="1:9">
      <c r="A177" s="177" t="str">
        <f>$A$17</f>
        <v>Treatment Required?</v>
      </c>
      <c r="B177" s="182" t="str">
        <f>IFERROR('D.A. 9'!$P$73,NA())</f>
        <v>No</v>
      </c>
      <c r="C177" s="28"/>
      <c r="D177" s="28"/>
      <c r="E177" s="28"/>
      <c r="F177" s="119"/>
      <c r="G177" s="28"/>
      <c r="H177" s="28"/>
      <c r="I177" s="28"/>
    </row>
    <row r="178" spans="1:9">
      <c r="A178" s="177" t="str">
        <f>$A$18</f>
        <v>Volume Treated (cubic feet)</v>
      </c>
      <c r="B178" s="182">
        <f>'D.A. 9'!$T$66</f>
        <v>0</v>
      </c>
      <c r="C178" s="28"/>
      <c r="D178" s="28"/>
      <c r="E178" s="28"/>
      <c r="F178" s="119"/>
      <c r="G178" s="28"/>
      <c r="H178" s="28"/>
      <c r="I178" s="28"/>
    </row>
    <row r="179" spans="1:9">
      <c r="A179" s="177" t="str">
        <f>'D.A. 1'!$S$68</f>
        <v>Volume Remaining to Treat 50% of the SWRv (cubic feet)</v>
      </c>
      <c r="B179" s="182">
        <f>'D.A. 9'!$T$68</f>
        <v>0</v>
      </c>
      <c r="C179" s="28"/>
      <c r="D179" s="28"/>
      <c r="E179" s="28"/>
      <c r="F179" s="119"/>
      <c r="G179" s="28"/>
      <c r="H179" s="28"/>
      <c r="I179" s="28"/>
    </row>
    <row r="180" spans="1:9">
      <c r="A180" s="177" t="str">
        <f>'D.A. 1'!$S$69</f>
        <v>Volume Remaining to Treat 50% of the SWRv (gallons)</v>
      </c>
      <c r="B180" s="182">
        <f>'D.A. 9'!$T$69</f>
        <v>0</v>
      </c>
      <c r="C180" s="28"/>
      <c r="D180" s="28"/>
      <c r="E180" s="28"/>
      <c r="F180" s="119"/>
      <c r="G180" s="28"/>
      <c r="H180" s="28"/>
      <c r="I180" s="28"/>
    </row>
    <row r="181" spans="1:9">
      <c r="A181" s="177" t="str">
        <f>'D.A. 1'!$S$71</f>
        <v>Volume Remaining to Treat WQTv (cubic feet)</v>
      </c>
      <c r="B181" s="182" t="str">
        <f>'D.A. 9'!$T$71</f>
        <v>N/A</v>
      </c>
      <c r="C181" s="28"/>
      <c r="D181" s="28"/>
      <c r="E181" s="28"/>
      <c r="F181" s="119"/>
      <c r="G181" s="28"/>
      <c r="H181" s="28"/>
      <c r="I181" s="28"/>
    </row>
    <row r="182" spans="1:9">
      <c r="A182" s="177" t="str">
        <f>'D.A. 1'!$S$72</f>
        <v>Volume Remaining to Treat WQTv (gallons)</v>
      </c>
      <c r="B182" s="182" t="str">
        <f>'D.A. 9'!$T$72</f>
        <v>N/A</v>
      </c>
      <c r="C182" s="28"/>
      <c r="D182" s="28"/>
      <c r="E182" s="28"/>
      <c r="F182" s="119"/>
      <c r="G182" s="28"/>
      <c r="H182" s="28"/>
      <c r="I182" s="28"/>
    </row>
    <row r="183" spans="1:9">
      <c r="A183" s="40"/>
      <c r="B183" s="183"/>
      <c r="C183" s="28"/>
      <c r="D183" s="28"/>
      <c r="E183" s="28"/>
      <c r="F183" s="119"/>
      <c r="G183" s="28"/>
      <c r="H183" s="28"/>
      <c r="I183" s="28"/>
    </row>
    <row r="184" spans="1:9">
      <c r="A184" s="40"/>
      <c r="B184" s="183"/>
      <c r="C184" s="28"/>
      <c r="D184" s="28"/>
      <c r="E184" s="28"/>
      <c r="F184" s="119"/>
      <c r="G184" s="28"/>
      <c r="H184" s="28"/>
      <c r="I184" s="28"/>
    </row>
    <row r="185" spans="1:9" ht="15.75">
      <c r="A185" s="6" t="s">
        <v>195</v>
      </c>
      <c r="D185" s="28"/>
      <c r="E185" s="28"/>
      <c r="F185" s="119"/>
      <c r="G185" s="28"/>
      <c r="H185" s="28"/>
      <c r="I185" s="28"/>
    </row>
    <row r="186" spans="1:9">
      <c r="A186" s="98" t="s">
        <v>76</v>
      </c>
      <c r="B186" s="137">
        <f>'D.A. 10'!$B$6</f>
        <v>0</v>
      </c>
      <c r="D186" s="148" t="s">
        <v>80</v>
      </c>
      <c r="E186" s="148"/>
      <c r="F186" s="137">
        <f>IFERROR('D.A. 10'!$G$12,0)</f>
        <v>0</v>
      </c>
      <c r="G186" s="167"/>
      <c r="H186" s="167"/>
      <c r="I186" s="112"/>
    </row>
    <row r="187" spans="1:9">
      <c r="A187" s="98" t="s">
        <v>77</v>
      </c>
      <c r="B187" s="137">
        <f>'D.A. 10'!$B$7</f>
        <v>0</v>
      </c>
      <c r="D187" s="195" t="s">
        <v>110</v>
      </c>
      <c r="E187" s="148"/>
      <c r="F187" s="137" t="str">
        <f>IFERROR('D.A. 10'!$G$17,0)</f>
        <v>NA</v>
      </c>
      <c r="G187" s="28"/>
      <c r="H187" s="28"/>
      <c r="I187" s="28"/>
    </row>
    <row r="188" spans="1:9">
      <c r="A188" s="98" t="s">
        <v>78</v>
      </c>
      <c r="B188" s="137">
        <f>'D.A. 10'!$B$8</f>
        <v>0</v>
      </c>
      <c r="G188" s="32"/>
      <c r="H188" s="32"/>
      <c r="I188" s="170"/>
    </row>
    <row r="189" spans="1:9">
      <c r="A189" s="98" t="s">
        <v>79</v>
      </c>
      <c r="B189" s="137">
        <f>'D.A. 10'!$B$11</f>
        <v>0</v>
      </c>
      <c r="D189" s="83"/>
      <c r="E189" s="83"/>
      <c r="F189" s="119"/>
      <c r="G189" s="28"/>
      <c r="H189" s="28"/>
      <c r="I189" s="28"/>
    </row>
    <row r="190" spans="1:9">
      <c r="A190" s="28"/>
      <c r="B190" s="119"/>
      <c r="C190" s="28"/>
      <c r="D190" s="28"/>
      <c r="E190" s="28"/>
      <c r="F190" s="119"/>
      <c r="G190" s="28"/>
      <c r="H190" s="28"/>
      <c r="I190" s="28"/>
    </row>
    <row r="191" spans="1:9">
      <c r="A191" s="98" t="s">
        <v>53</v>
      </c>
      <c r="B191" s="137">
        <f>'D.A. 10'!$P$66</f>
        <v>0</v>
      </c>
      <c r="C191" s="28"/>
      <c r="D191" s="28"/>
      <c r="E191" s="28"/>
      <c r="F191" s="119"/>
      <c r="G191" s="28"/>
      <c r="H191" s="28"/>
      <c r="I191" s="28"/>
    </row>
    <row r="192" spans="1:9">
      <c r="A192" s="98" t="s">
        <v>54</v>
      </c>
      <c r="B192" s="137">
        <f>IF(F186-B191&gt;0,F186-B191,0)</f>
        <v>0</v>
      </c>
      <c r="C192" s="28"/>
      <c r="D192" s="28"/>
      <c r="E192" s="28"/>
      <c r="F192" s="119"/>
      <c r="G192" s="28"/>
      <c r="H192" s="28"/>
      <c r="I192" s="28"/>
    </row>
    <row r="193" spans="1:9">
      <c r="A193" s="176" t="s">
        <v>97</v>
      </c>
      <c r="B193" s="137">
        <f>B192*7.48</f>
        <v>0</v>
      </c>
      <c r="C193" s="28"/>
      <c r="D193" s="28"/>
      <c r="E193" s="28"/>
      <c r="F193" s="119"/>
      <c r="G193" s="28"/>
      <c r="H193" s="28"/>
      <c r="I193" s="28"/>
    </row>
    <row r="194" spans="1:9">
      <c r="A194" s="87" t="s">
        <v>73</v>
      </c>
      <c r="B194" s="67" t="str">
        <f>IFERROR('D.A. 10'!$P$71,NA())</f>
        <v>Yes</v>
      </c>
      <c r="C194" s="28"/>
      <c r="D194" s="28"/>
      <c r="E194" s="28"/>
      <c r="F194" s="119"/>
      <c r="G194" s="28"/>
      <c r="H194" s="28"/>
      <c r="I194" s="28"/>
    </row>
    <row r="195" spans="1:9">
      <c r="A195" s="87" t="s">
        <v>161</v>
      </c>
      <c r="B195" s="67" t="str">
        <f>IFERROR('D.A. 10'!$P$72,NA())</f>
        <v>N/A</v>
      </c>
      <c r="C195" s="28"/>
      <c r="D195" s="28"/>
      <c r="E195" s="28"/>
      <c r="F195" s="119"/>
      <c r="G195" s="28"/>
      <c r="H195" s="28"/>
      <c r="I195" s="28"/>
    </row>
    <row r="196" spans="1:9">
      <c r="A196" s="28"/>
      <c r="B196" s="119"/>
      <c r="C196" s="28"/>
      <c r="D196" s="28"/>
      <c r="E196" s="28"/>
      <c r="F196" s="119"/>
      <c r="G196" s="28"/>
      <c r="H196" s="28"/>
      <c r="I196" s="28"/>
    </row>
    <row r="197" spans="1:9">
      <c r="A197" s="177" t="str">
        <f>$A$17</f>
        <v>Treatment Required?</v>
      </c>
      <c r="B197" s="182" t="str">
        <f>IFERROR('D.A. 10'!$P$73,NA())</f>
        <v>No</v>
      </c>
      <c r="C197" s="28"/>
      <c r="D197" s="28"/>
      <c r="E197" s="28"/>
      <c r="F197" s="119"/>
      <c r="G197" s="28"/>
      <c r="H197" s="28"/>
      <c r="I197" s="28"/>
    </row>
    <row r="198" spans="1:9">
      <c r="A198" s="177" t="str">
        <f>$A$18</f>
        <v>Volume Treated (cubic feet)</v>
      </c>
      <c r="B198" s="182">
        <f>'D.A. 10'!$T$66</f>
        <v>0</v>
      </c>
      <c r="C198" s="28"/>
      <c r="D198" s="28"/>
      <c r="E198" s="28"/>
      <c r="F198" s="119"/>
      <c r="G198" s="28"/>
      <c r="H198" s="28"/>
      <c r="I198" s="28"/>
    </row>
    <row r="199" spans="1:9">
      <c r="A199" s="177" t="str">
        <f>'D.A. 1'!$S$68</f>
        <v>Volume Remaining to Treat 50% of the SWRv (cubic feet)</v>
      </c>
      <c r="B199" s="182">
        <f>'D.A. 10'!$T$68</f>
        <v>0</v>
      </c>
      <c r="C199" s="28"/>
      <c r="D199" s="28"/>
      <c r="E199" s="28"/>
      <c r="F199" s="119"/>
      <c r="G199" s="28"/>
      <c r="H199" s="28"/>
      <c r="I199" s="28"/>
    </row>
    <row r="200" spans="1:9">
      <c r="A200" s="177" t="str">
        <f>'D.A. 1'!$S$69</f>
        <v>Volume Remaining to Treat 50% of the SWRv (gallons)</v>
      </c>
      <c r="B200" s="182">
        <f>'D.A. 10'!$T$69</f>
        <v>0</v>
      </c>
      <c r="C200" s="28"/>
      <c r="D200" s="28"/>
      <c r="E200" s="28"/>
      <c r="F200" s="119"/>
      <c r="G200" s="28"/>
      <c r="H200" s="28"/>
      <c r="I200" s="28"/>
    </row>
    <row r="201" spans="1:9">
      <c r="A201" s="177" t="str">
        <f>'D.A. 1'!$S$71</f>
        <v>Volume Remaining to Treat WQTv (cubic feet)</v>
      </c>
      <c r="B201" s="182" t="str">
        <f>'D.A. 10'!$T$71</f>
        <v>N/A</v>
      </c>
      <c r="C201" s="28"/>
      <c r="D201" s="28"/>
      <c r="E201" s="28"/>
      <c r="F201" s="119"/>
      <c r="G201" s="28"/>
      <c r="H201" s="28"/>
      <c r="I201" s="28"/>
    </row>
    <row r="202" spans="1:9">
      <c r="A202" s="177" t="str">
        <f>'D.A. 1'!$S$72</f>
        <v>Volume Remaining to Treat WQTv (gallons)</v>
      </c>
      <c r="B202" s="182" t="str">
        <f>'D.A. 10'!$T$72</f>
        <v>N/A</v>
      </c>
      <c r="C202" s="28"/>
      <c r="D202" s="28"/>
      <c r="E202" s="28"/>
      <c r="F202" s="119"/>
      <c r="G202" s="28"/>
      <c r="H202" s="28"/>
      <c r="I202" s="28"/>
    </row>
    <row r="203" spans="1:9">
      <c r="A203" s="40"/>
      <c r="B203" s="183"/>
      <c r="C203" s="28"/>
      <c r="D203" s="28"/>
      <c r="E203" s="28"/>
      <c r="F203" s="119"/>
      <c r="G203" s="28"/>
      <c r="H203" s="28"/>
      <c r="I203" s="28"/>
    </row>
    <row r="204" spans="1:9">
      <c r="A204" s="40"/>
      <c r="B204" s="183"/>
      <c r="C204" s="28"/>
      <c r="D204" s="28"/>
      <c r="E204" s="28"/>
      <c r="F204" s="119"/>
      <c r="G204" s="28"/>
      <c r="H204" s="28"/>
      <c r="I204" s="28"/>
    </row>
    <row r="205" spans="1:9" ht="15.75">
      <c r="A205" s="171" t="s">
        <v>74</v>
      </c>
      <c r="B205" s="119"/>
      <c r="C205" s="28"/>
      <c r="D205" s="28"/>
      <c r="E205" s="28"/>
      <c r="F205" s="119"/>
      <c r="G205" s="28"/>
      <c r="H205" s="28"/>
      <c r="I205" s="28"/>
    </row>
    <row r="206" spans="1:9">
      <c r="A206" s="98" t="s">
        <v>133</v>
      </c>
      <c r="B206" s="67">
        <f>B11+B31+B51+B71+B91+B111+B131+B151+B171+B191</f>
        <v>0</v>
      </c>
      <c r="C206" s="28"/>
      <c r="D206" s="28"/>
      <c r="E206" s="28"/>
      <c r="F206" s="119"/>
      <c r="G206" s="28"/>
      <c r="H206" s="28"/>
      <c r="I206" s="28"/>
    </row>
    <row r="207" spans="1:9">
      <c r="A207" s="176" t="s">
        <v>111</v>
      </c>
      <c r="B207" s="184" t="str">
        <f>IF(B206&gt;0.5*'Site Data'!D37,"Yes","No")</f>
        <v>No</v>
      </c>
      <c r="C207" s="28"/>
      <c r="D207" s="28"/>
      <c r="E207" s="28"/>
      <c r="F207" s="119"/>
      <c r="G207" s="28"/>
      <c r="H207" s="28"/>
      <c r="I207" s="28"/>
    </row>
    <row r="208" spans="1:9">
      <c r="A208" s="176" t="s">
        <v>121</v>
      </c>
      <c r="B208" s="184">
        <f>IF('Site Data'!D37-B206&gt;0,'Site Data'!D37-B206,0)</f>
        <v>0</v>
      </c>
      <c r="C208" s="40"/>
      <c r="D208" s="28"/>
      <c r="E208" s="28"/>
      <c r="F208" s="119"/>
      <c r="G208" s="28"/>
      <c r="H208" s="28"/>
      <c r="I208" s="28"/>
    </row>
    <row r="209" spans="1:9">
      <c r="A209" s="176" t="s">
        <v>122</v>
      </c>
      <c r="B209" s="67">
        <f>B208*7.48</f>
        <v>0</v>
      </c>
      <c r="C209" s="7"/>
      <c r="D209" s="28"/>
      <c r="E209" s="28"/>
      <c r="F209" s="119"/>
      <c r="G209" s="28"/>
      <c r="H209" s="28"/>
      <c r="I209" s="28"/>
    </row>
    <row r="210" spans="1:9">
      <c r="A210" s="176" t="s">
        <v>125</v>
      </c>
      <c r="B210" s="67">
        <f>B18+B38+B58+B78+B98+B118+B138+B158+B178+B198</f>
        <v>0</v>
      </c>
      <c r="C210" s="7"/>
      <c r="D210" s="28"/>
      <c r="E210" s="28"/>
      <c r="F210" s="119"/>
      <c r="G210" s="28"/>
      <c r="H210" s="28"/>
      <c r="I210" s="28"/>
    </row>
    <row r="211" spans="1:9">
      <c r="A211" s="176" t="s">
        <v>123</v>
      </c>
      <c r="B211" s="67">
        <f>IF('Site Data'!E13="Yes",IF('Site Data'!D39-IF(B206&gt;'Site Data'!D37,B206-'Site Data'!D37,0)-B210&lt;0,0,'Site Data'!D39-IF(B206&gt;'Site Data'!D37,B206-'Site Data'!D37,0)-B210),0)</f>
        <v>0</v>
      </c>
      <c r="C211" s="213"/>
      <c r="D211" s="28"/>
      <c r="E211" s="28"/>
      <c r="F211" s="119"/>
      <c r="G211" s="28"/>
      <c r="H211" s="28"/>
      <c r="I211" s="28"/>
    </row>
    <row r="212" spans="1:9">
      <c r="A212" s="176" t="s">
        <v>124</v>
      </c>
      <c r="B212" s="67">
        <f>B211*7.48</f>
        <v>0</v>
      </c>
      <c r="C212" s="213"/>
      <c r="D212" s="112"/>
      <c r="E212" s="28"/>
      <c r="F212" s="119"/>
      <c r="G212" s="28"/>
      <c r="H212" s="28"/>
      <c r="I212" s="28"/>
    </row>
    <row r="213" spans="1:9" s="28" customFormat="1">
      <c r="A213" s="243"/>
      <c r="B213" s="164"/>
      <c r="C213" s="213"/>
      <c r="F213" s="119"/>
    </row>
    <row r="214" spans="1:9">
      <c r="A214" s="204" t="s">
        <v>134</v>
      </c>
      <c r="B214" s="67">
        <f>IF(AND('Site Data'!E13="No",'Site Data'!D38&lt;B206*7.48),B206*7.48-'Site Data'!D38,0)</f>
        <v>0</v>
      </c>
      <c r="C214" s="213"/>
      <c r="D214" s="28"/>
      <c r="E214" s="28"/>
      <c r="F214" s="119"/>
      <c r="G214" s="28"/>
      <c r="H214" s="28"/>
      <c r="I214" s="28"/>
    </row>
    <row r="215" spans="1:9">
      <c r="A215" s="180" t="s">
        <v>131</v>
      </c>
      <c r="B215" s="67">
        <f>B209+B212</f>
        <v>0</v>
      </c>
      <c r="C215" s="234"/>
      <c r="D215" s="235"/>
      <c r="E215" s="235"/>
      <c r="F215" s="235"/>
      <c r="G215" s="235"/>
      <c r="H215" s="235"/>
      <c r="I215" s="28"/>
    </row>
    <row r="216" spans="1:9">
      <c r="A216" s="23" t="s">
        <v>132</v>
      </c>
    </row>
    <row r="218" spans="1:9" ht="15.75">
      <c r="A218" s="6" t="s">
        <v>109</v>
      </c>
    </row>
    <row r="219" spans="1:9">
      <c r="A219" s="98" t="s">
        <v>76</v>
      </c>
      <c r="B219" s="137">
        <f>'Public ROW'!$B$6</f>
        <v>0</v>
      </c>
      <c r="D219" s="148" t="s">
        <v>80</v>
      </c>
      <c r="E219" s="148"/>
      <c r="F219" s="137">
        <f>IFERROR('Public ROW'!$G$12,0)</f>
        <v>0</v>
      </c>
      <c r="G219" s="167"/>
      <c r="H219" s="167"/>
    </row>
    <row r="220" spans="1:9">
      <c r="A220" s="98" t="s">
        <v>77</v>
      </c>
      <c r="B220" s="137">
        <f>'Public ROW'!$B$7</f>
        <v>0</v>
      </c>
      <c r="D220" s="195" t="s">
        <v>110</v>
      </c>
      <c r="E220" s="148"/>
      <c r="F220" s="137" t="str">
        <f>IFERROR('Public ROW'!$G$17,0)</f>
        <v>NA</v>
      </c>
      <c r="G220" s="28"/>
      <c r="H220" s="28"/>
    </row>
    <row r="221" spans="1:9">
      <c r="A221" s="98" t="s">
        <v>78</v>
      </c>
      <c r="B221" s="137">
        <f>'Public ROW'!$B$8</f>
        <v>0</v>
      </c>
      <c r="H221" s="32"/>
    </row>
    <row r="222" spans="1:9">
      <c r="A222" s="98" t="s">
        <v>79</v>
      </c>
      <c r="B222" s="137">
        <f>'Public ROW'!$B$11</f>
        <v>0</v>
      </c>
      <c r="D222" s="83"/>
      <c r="E222" s="83"/>
      <c r="F222" s="119"/>
      <c r="G222" s="28"/>
      <c r="H222" s="28"/>
      <c r="I222" s="28"/>
    </row>
    <row r="223" spans="1:9">
      <c r="A223" s="28"/>
      <c r="B223" s="119"/>
      <c r="C223" s="28"/>
      <c r="D223" s="28"/>
      <c r="E223" s="28"/>
      <c r="F223" s="119"/>
      <c r="G223" s="28"/>
      <c r="H223" s="28"/>
      <c r="I223" s="28"/>
    </row>
    <row r="224" spans="1:9">
      <c r="A224" s="98" t="s">
        <v>53</v>
      </c>
      <c r="B224" s="137">
        <f>'Public ROW'!$P$66</f>
        <v>0</v>
      </c>
      <c r="C224" s="28"/>
      <c r="D224" s="28"/>
      <c r="E224" s="28"/>
      <c r="F224" s="119"/>
      <c r="G224" s="28"/>
      <c r="H224" s="28"/>
      <c r="I224" s="28"/>
    </row>
    <row r="225" spans="1:9">
      <c r="A225" s="98" t="s">
        <v>54</v>
      </c>
      <c r="B225" s="137">
        <f>IF(F219-B224&gt;0,F219-B224,0)</f>
        <v>0</v>
      </c>
      <c r="C225" s="28"/>
      <c r="D225" s="28"/>
      <c r="E225" s="28"/>
      <c r="F225" s="119"/>
      <c r="G225" s="28"/>
      <c r="H225" s="28"/>
      <c r="I225" s="28"/>
    </row>
    <row r="226" spans="1:9">
      <c r="A226" s="176" t="s">
        <v>97</v>
      </c>
      <c r="B226" s="137">
        <f>B225*7.48</f>
        <v>0</v>
      </c>
      <c r="C226" s="28"/>
      <c r="D226" s="28"/>
      <c r="E226" s="28"/>
      <c r="F226" s="119"/>
      <c r="G226" s="28"/>
      <c r="H226" s="28"/>
      <c r="I226" s="28"/>
    </row>
    <row r="227" spans="1:9">
      <c r="A227" s="87" t="s">
        <v>73</v>
      </c>
      <c r="B227" s="67" t="str">
        <f>IFERROR('Public ROW'!P71,NA())</f>
        <v>Yes</v>
      </c>
      <c r="C227" s="28"/>
      <c r="D227" s="28"/>
      <c r="E227" s="28"/>
      <c r="F227" s="119"/>
      <c r="G227" s="28"/>
      <c r="H227" s="28"/>
      <c r="I227" s="28"/>
    </row>
    <row r="228" spans="1:9">
      <c r="A228" s="87" t="s">
        <v>161</v>
      </c>
      <c r="B228" s="67" t="str">
        <f>IFERROR('Public ROW'!$P$72,NA())</f>
        <v>N/A</v>
      </c>
      <c r="C228" s="28"/>
      <c r="D228" s="28"/>
      <c r="E228" s="28"/>
      <c r="F228" s="119"/>
      <c r="G228" s="28"/>
      <c r="H228" s="28"/>
      <c r="I228" s="28"/>
    </row>
    <row r="229" spans="1:9">
      <c r="A229" s="28"/>
      <c r="B229" s="119"/>
    </row>
    <row r="230" spans="1:9">
      <c r="A230" s="177" t="str">
        <f>$A$17</f>
        <v>Treatment Required?</v>
      </c>
      <c r="B230" s="182" t="str">
        <f>IFERROR('Public ROW'!P73,NA())</f>
        <v>No</v>
      </c>
    </row>
    <row r="231" spans="1:9">
      <c r="A231" s="177" t="str">
        <f>$A$18</f>
        <v>Volume Treated (cubic feet)</v>
      </c>
      <c r="B231" s="182">
        <f>'Public ROW'!T66</f>
        <v>0</v>
      </c>
    </row>
    <row r="232" spans="1:9">
      <c r="A232" s="177" t="str">
        <f>'D.A. 1'!$S$68</f>
        <v>Volume Remaining to Treat 50% of the SWRv (cubic feet)</v>
      </c>
      <c r="B232" s="182">
        <f>'Public ROW'!T68</f>
        <v>0</v>
      </c>
    </row>
    <row r="233" spans="1:9">
      <c r="A233" s="177" t="str">
        <f>'D.A. 1'!$S$69</f>
        <v>Volume Remaining to Treat 50% of the SWRv (gallons)</v>
      </c>
      <c r="B233" s="182">
        <f>'Public ROW'!T69</f>
        <v>0</v>
      </c>
    </row>
    <row r="234" spans="1:9">
      <c r="A234" s="177" t="str">
        <f>'D.A. 1'!$S$71</f>
        <v>Volume Remaining to Treat WQTv (cubic feet)</v>
      </c>
      <c r="B234" s="182" t="str">
        <f>'Public ROW'!T71</f>
        <v>N/A</v>
      </c>
    </row>
    <row r="235" spans="1:9">
      <c r="A235" s="177" t="str">
        <f>'D.A. 1'!$S$72</f>
        <v>Volume Remaining to Treat WQTv (gallons)</v>
      </c>
      <c r="B235" s="182" t="str">
        <f>'Public ROW'!T72</f>
        <v>N/A</v>
      </c>
    </row>
  </sheetData>
  <sheetProtection password="C9FF" sheet="1" objects="1" scenarios="1"/>
  <mergeCells count="1">
    <mergeCell ref="A1:H1"/>
  </mergeCells>
  <phoneticPr fontId="2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T650"/>
  <sheetViews>
    <sheetView workbookViewId="0">
      <selection sqref="A1:H1"/>
    </sheetView>
  </sheetViews>
  <sheetFormatPr defaultColWidth="8.85546875" defaultRowHeight="12.75"/>
  <cols>
    <col min="1" max="1" width="33" style="2" customWidth="1"/>
    <col min="2" max="2" width="23.42578125" style="2" customWidth="1"/>
    <col min="3" max="3" width="17.85546875" style="88" customWidth="1"/>
    <col min="4" max="4" width="17.85546875" style="226" bestFit="1" customWidth="1"/>
    <col min="5" max="5" width="17.85546875" style="88" customWidth="1"/>
    <col min="6" max="6" width="18" style="226" customWidth="1"/>
    <col min="7" max="7" width="18" style="2" customWidth="1"/>
    <col min="8" max="8" width="8.85546875" style="4"/>
    <col min="9" max="9" width="26.140625" style="2" customWidth="1"/>
    <col min="10" max="10" width="12.85546875" style="2" customWidth="1"/>
    <col min="11" max="11" width="13.28515625" style="2" customWidth="1"/>
    <col min="12" max="12" width="13" style="2" customWidth="1"/>
    <col min="13" max="14" width="8.85546875" style="2" customWidth="1"/>
    <col min="15" max="16384" width="8.85546875" style="2"/>
  </cols>
  <sheetData>
    <row r="1" spans="1:20" ht="18" customHeight="1">
      <c r="A1" s="283" t="s">
        <v>215</v>
      </c>
      <c r="B1" s="283"/>
      <c r="C1" s="283"/>
      <c r="D1" s="283"/>
      <c r="E1" s="283"/>
      <c r="F1" s="283"/>
      <c r="G1" s="283"/>
      <c r="H1" s="283"/>
    </row>
    <row r="2" spans="1:20" ht="18">
      <c r="A2" s="196" t="s">
        <v>112</v>
      </c>
      <c r="B2" s="181"/>
      <c r="C2" s="225"/>
      <c r="D2" s="181"/>
      <c r="E2" s="225"/>
      <c r="F2" s="129"/>
      <c r="G2" s="49"/>
      <c r="H2" s="49"/>
    </row>
    <row r="3" spans="1:20" ht="18.75" thickBot="1">
      <c r="A3" s="196"/>
      <c r="B3" s="181"/>
      <c r="C3" s="225"/>
      <c r="D3" s="181"/>
      <c r="E3" s="225"/>
      <c r="F3" s="129"/>
      <c r="G3" s="49"/>
      <c r="H3" s="49"/>
    </row>
    <row r="4" spans="1:20">
      <c r="A4" s="17"/>
      <c r="B4" s="17"/>
      <c r="D4" s="138" t="s">
        <v>18</v>
      </c>
      <c r="E4" s="139" t="s">
        <v>21</v>
      </c>
      <c r="F4" s="140" t="s">
        <v>59</v>
      </c>
      <c r="G4" s="88"/>
      <c r="H4" s="3"/>
      <c r="J4" s="3"/>
      <c r="K4" s="3"/>
      <c r="L4" s="3"/>
      <c r="M4" s="3"/>
      <c r="N4" s="3"/>
      <c r="O4" s="3"/>
      <c r="Q4" s="4"/>
    </row>
    <row r="5" spans="1:20" ht="13.5" thickBot="1">
      <c r="A5" s="411" t="s">
        <v>6</v>
      </c>
      <c r="B5" s="411"/>
      <c r="D5" s="141">
        <v>3.2</v>
      </c>
      <c r="E5" s="142">
        <v>5.2</v>
      </c>
      <c r="F5" s="143">
        <v>8.3699999999999992</v>
      </c>
      <c r="G5" s="88"/>
      <c r="H5" s="3"/>
      <c r="J5" s="90"/>
      <c r="K5" s="65"/>
      <c r="L5" s="65"/>
      <c r="M5" s="93"/>
      <c r="N5" s="65"/>
      <c r="O5" s="65"/>
      <c r="P5" s="65"/>
      <c r="Q5" s="65"/>
      <c r="R5" s="65"/>
      <c r="S5" s="65"/>
      <c r="T5" s="28"/>
    </row>
    <row r="6" spans="1:20">
      <c r="A6" s="37"/>
      <c r="B6" s="37"/>
      <c r="C6" s="230"/>
      <c r="D6" s="88"/>
      <c r="F6" s="88"/>
      <c r="G6" s="88"/>
      <c r="H6" s="3"/>
      <c r="J6" s="94"/>
      <c r="K6" s="65"/>
      <c r="L6" s="65"/>
      <c r="M6" s="93"/>
      <c r="N6" s="95"/>
      <c r="O6" s="95"/>
      <c r="P6" s="95"/>
      <c r="Q6" s="95"/>
      <c r="R6" s="95"/>
      <c r="S6" s="95"/>
      <c r="T6" s="28"/>
    </row>
    <row r="7" spans="1:20">
      <c r="A7" s="405" t="s">
        <v>141</v>
      </c>
      <c r="B7" s="405"/>
      <c r="C7" s="182">
        <f>'D.A. 1'!$B$11</f>
        <v>0</v>
      </c>
      <c r="D7" s="88"/>
      <c r="F7" s="88"/>
      <c r="H7" s="3"/>
      <c r="J7" s="94"/>
      <c r="K7" s="65"/>
      <c r="L7" s="65"/>
      <c r="M7" s="91"/>
      <c r="N7" s="92"/>
      <c r="O7" s="92"/>
      <c r="P7" s="92"/>
      <c r="Q7" s="92"/>
      <c r="R7" s="92"/>
      <c r="S7" s="92"/>
      <c r="T7" s="28"/>
    </row>
    <row r="8" spans="1:20">
      <c r="A8" s="405" t="s">
        <v>82</v>
      </c>
      <c r="B8" s="405"/>
      <c r="C8" s="182">
        <f>'D.A. 1'!$O$23+'D.A. 1'!$P$25+'D.A. 1'!$P$27+'D.A. 1'!$P$29+'D.A. 1'!$P$31+'D.A. 1'!$O$33+'D.A. 1'!$O$35+'D.A. 1'!$O$37+'D.A. 1'!$O$39+'D.A. 1'!$P$41+'D.A. 1'!$O$43+'D.A. 1'!$P$45+'D.A. 1'!$P$47+'D.A. 1'!$P$49+'D.A. 1'!$P$51+'D.A. 1'!$P$53+'D.A. 1'!$O$55+'D.A. 1'!$P$57+'D.A. 1'!$O$59+'D.A. 1'!$P$61</f>
        <v>0</v>
      </c>
      <c r="J8" s="90"/>
      <c r="K8" s="65"/>
      <c r="L8" s="65"/>
      <c r="M8" s="91"/>
      <c r="N8" s="92"/>
      <c r="O8" s="92"/>
      <c r="P8" s="92"/>
      <c r="Q8" s="92"/>
      <c r="R8" s="92"/>
      <c r="S8" s="92"/>
      <c r="T8" s="28"/>
    </row>
    <row r="9" spans="1:20">
      <c r="A9" s="405" t="s">
        <v>100</v>
      </c>
      <c r="B9" s="405"/>
      <c r="C9" s="182">
        <f>C8*7.48</f>
        <v>0</v>
      </c>
      <c r="J9" s="90"/>
      <c r="K9" s="65"/>
      <c r="L9" s="65"/>
      <c r="M9" s="91"/>
      <c r="N9" s="92"/>
      <c r="O9" s="92"/>
      <c r="P9" s="92"/>
      <c r="Q9" s="92"/>
      <c r="R9" s="92"/>
      <c r="S9" s="92"/>
      <c r="T9" s="28"/>
    </row>
    <row r="10" spans="1:20">
      <c r="A10" s="412"/>
      <c r="B10" s="412"/>
      <c r="C10" s="231"/>
    </row>
    <row r="11" spans="1:20">
      <c r="A11" s="405" t="s">
        <v>142</v>
      </c>
      <c r="B11" s="405"/>
      <c r="C11" s="182">
        <f>'D.A. 2'!$B$11</f>
        <v>0</v>
      </c>
    </row>
    <row r="12" spans="1:20">
      <c r="A12" s="405" t="s">
        <v>82</v>
      </c>
      <c r="B12" s="405"/>
      <c r="C12" s="182">
        <f>'D.A. 2'!$O$23+'D.A. 2'!$P$25+'D.A. 2'!$P$27+'D.A. 2'!$P$29+'D.A. 2'!$P$31+'D.A. 2'!$O$33+'D.A. 2'!$O$35+'D.A. 2'!$O$37+'D.A. 2'!$O$39+'D.A. 2'!$P$41+'D.A. 2'!$O$43+'D.A. 2'!$P$45+'D.A. 2'!$P$47+'D.A. 2'!$P$49+'D.A. 2'!$P$51+'D.A. 2'!$P$53+'D.A. 2'!$O$55+'D.A. 2'!$P$57+'D.A. 2'!$O$59+'D.A. 2'!$P$61</f>
        <v>0</v>
      </c>
    </row>
    <row r="13" spans="1:20">
      <c r="A13" s="405" t="s">
        <v>100</v>
      </c>
      <c r="B13" s="405"/>
      <c r="C13" s="182">
        <f>C12*7.48</f>
        <v>0</v>
      </c>
    </row>
    <row r="14" spans="1:20">
      <c r="A14" s="17"/>
      <c r="B14" s="17"/>
      <c r="C14" s="231"/>
    </row>
    <row r="15" spans="1:20">
      <c r="A15" s="405" t="s">
        <v>143</v>
      </c>
      <c r="B15" s="405"/>
      <c r="C15" s="182">
        <f>'D.A. 3'!$B$11</f>
        <v>0</v>
      </c>
    </row>
    <row r="16" spans="1:20">
      <c r="A16" s="405" t="s">
        <v>82</v>
      </c>
      <c r="B16" s="405"/>
      <c r="C16" s="182">
        <f>'D.A. 3'!$O$23+'D.A. 3'!$P$25+'D.A. 3'!$P$27+'D.A. 3'!$P$29+'D.A. 3'!$P$31+'D.A. 3'!$O$33+'D.A. 3'!$O$35+'D.A. 3'!$O$37+'D.A. 3'!$O$39+'D.A. 3'!$P$41+'D.A. 3'!$O$43+'D.A. 3'!$P$45+'D.A. 3'!$P$47+'D.A. 3'!$P$49+'D.A. 3'!$P$51+'D.A. 3'!$P$53+'D.A. 3'!$O$55+'D.A. 3'!$P$57+'D.A. 3'!$O$59+'D.A. 3'!$P$61</f>
        <v>0</v>
      </c>
    </row>
    <row r="17" spans="1:3">
      <c r="A17" s="405" t="s">
        <v>100</v>
      </c>
      <c r="B17" s="405"/>
      <c r="C17" s="182">
        <f>C16*7.48</f>
        <v>0</v>
      </c>
    </row>
    <row r="18" spans="1:3">
      <c r="A18" s="17"/>
      <c r="B18" s="17"/>
      <c r="C18" s="231"/>
    </row>
    <row r="19" spans="1:3">
      <c r="A19" s="405" t="s">
        <v>144</v>
      </c>
      <c r="B19" s="405"/>
      <c r="C19" s="182">
        <f>'D.A. 4'!$B$11</f>
        <v>0</v>
      </c>
    </row>
    <row r="20" spans="1:3">
      <c r="A20" s="405" t="s">
        <v>82</v>
      </c>
      <c r="B20" s="405"/>
      <c r="C20" s="182">
        <f>'D.A. 4'!$O$23+'D.A. 4'!$P$25+'D.A. 4'!$P$27+'D.A. 4'!$P$29+'D.A. 4'!$P$31+'D.A. 4'!$O$33+'D.A. 4'!$O$35+'D.A. 4'!$O$37+'D.A. 4'!$O$39+'D.A. 4'!$P$41+'D.A. 4'!$O$43+'D.A. 4'!$P$45+'D.A. 4'!$P$47+'D.A. 4'!$P$49+'D.A. 4'!$P$51+'D.A. 4'!$P$53+'D.A. 4'!$O$55+'D.A. 4'!$P$57+'D.A. 4'!$O$59+'D.A. 4'!$P$61</f>
        <v>0</v>
      </c>
    </row>
    <row r="21" spans="1:3">
      <c r="A21" s="405" t="s">
        <v>100</v>
      </c>
      <c r="B21" s="405"/>
      <c r="C21" s="182">
        <f>C20*7.48</f>
        <v>0</v>
      </c>
    </row>
    <row r="22" spans="1:3">
      <c r="A22" s="17"/>
      <c r="B22" s="17"/>
      <c r="C22" s="231"/>
    </row>
    <row r="23" spans="1:3">
      <c r="A23" s="405" t="s">
        <v>145</v>
      </c>
      <c r="B23" s="405"/>
      <c r="C23" s="182">
        <f>'D.A. 5'!$B$11</f>
        <v>0</v>
      </c>
    </row>
    <row r="24" spans="1:3">
      <c r="A24" s="405" t="s">
        <v>82</v>
      </c>
      <c r="B24" s="405"/>
      <c r="C24" s="182">
        <f>'D.A. 5'!$O$23+'D.A. 5'!$P$25+'D.A. 5'!$P$27+'D.A. 5'!$P$29+'D.A. 5'!$P$31+'D.A. 5'!$O$33+'D.A. 5'!$O$35+'D.A. 5'!$O$37+'D.A. 5'!$O$39+'D.A. 5'!$P$41+'D.A. 5'!$O$43+'D.A. 5'!$P$45+'D.A. 5'!$P$47+'D.A. 5'!$P$49+'D.A. 5'!$P$51+'D.A. 5'!$P$53+'D.A. 5'!$O$55+'D.A. 5'!$P$57+'D.A. 5'!$O$59+'D.A. 5'!$P$61</f>
        <v>0</v>
      </c>
    </row>
    <row r="25" spans="1:3">
      <c r="A25" s="405" t="s">
        <v>100</v>
      </c>
      <c r="B25" s="405"/>
      <c r="C25" s="182">
        <f>C24*7.48</f>
        <v>0</v>
      </c>
    </row>
    <row r="26" spans="1:3">
      <c r="A26" s="276"/>
      <c r="B26" s="276"/>
      <c r="C26" s="124"/>
    </row>
    <row r="27" spans="1:3">
      <c r="A27" s="405" t="s">
        <v>205</v>
      </c>
      <c r="B27" s="405"/>
      <c r="C27" s="182">
        <f>'D.A. 6'!$B$11</f>
        <v>0</v>
      </c>
    </row>
    <row r="28" spans="1:3">
      <c r="A28" s="405" t="s">
        <v>82</v>
      </c>
      <c r="B28" s="405"/>
      <c r="C28" s="182">
        <f>'D.A. 6'!$O$23+'D.A. 6'!$P$25+'D.A. 6'!$P$27+'D.A. 6'!$P$29+'D.A. 6'!$P$31+'D.A. 6'!$O$33+'D.A. 6'!$O$35+'D.A. 6'!$O$37+'D.A. 6'!$O$39+'D.A. 6'!$P$41+'D.A. 6'!$O$43+'D.A. 6'!$P$45+'D.A. 6'!$P$47+'D.A. 6'!$P$49+'D.A. 6'!$P$51+'D.A. 6'!$P$53+'D.A. 6'!$O$55+'D.A. 6'!$P$57+'D.A. 6'!$O$59+'D.A. 6'!$P$61</f>
        <v>0</v>
      </c>
    </row>
    <row r="29" spans="1:3">
      <c r="A29" s="405" t="s">
        <v>100</v>
      </c>
      <c r="B29" s="405"/>
      <c r="C29" s="182">
        <f>C28*7.48</f>
        <v>0</v>
      </c>
    </row>
    <row r="30" spans="1:3">
      <c r="A30" s="276"/>
      <c r="B30" s="276"/>
      <c r="C30" s="124"/>
    </row>
    <row r="31" spans="1:3">
      <c r="A31" s="405" t="s">
        <v>206</v>
      </c>
      <c r="B31" s="405"/>
      <c r="C31" s="182">
        <f>'D.A. 7'!$B$11</f>
        <v>0</v>
      </c>
    </row>
    <row r="32" spans="1:3">
      <c r="A32" s="405" t="s">
        <v>82</v>
      </c>
      <c r="B32" s="405"/>
      <c r="C32" s="182">
        <f>'D.A. 7'!$O$23+'D.A. 7'!$P$25+'D.A. 7'!$P$27+'D.A. 7'!$P$29+'D.A. 7'!$P$31+'D.A. 7'!$O$33+'D.A. 7'!$O$35+'D.A. 7'!$O$37+'D.A. 7'!$O$39+'D.A. 7'!$P$41+'D.A. 7'!$O$43+'D.A. 7'!$P$45+'D.A. 7'!$P$47+'D.A. 7'!$P$49+'D.A. 7'!$P$51+'D.A. 7'!$P$53+'D.A. 7'!$O$55+'D.A. 7'!$P$57+'D.A. 7'!$O$59+'D.A. 7'!$P$61</f>
        <v>0</v>
      </c>
    </row>
    <row r="33" spans="1:14">
      <c r="A33" s="405" t="s">
        <v>100</v>
      </c>
      <c r="B33" s="405"/>
      <c r="C33" s="182">
        <f>C32*7.48</f>
        <v>0</v>
      </c>
    </row>
    <row r="34" spans="1:14">
      <c r="A34" s="276"/>
      <c r="B34" s="276"/>
      <c r="C34" s="124"/>
    </row>
    <row r="35" spans="1:14">
      <c r="A35" s="405" t="s">
        <v>207</v>
      </c>
      <c r="B35" s="405"/>
      <c r="C35" s="182">
        <f>'D.A. 8'!$B$11</f>
        <v>0</v>
      </c>
    </row>
    <row r="36" spans="1:14">
      <c r="A36" s="405" t="s">
        <v>82</v>
      </c>
      <c r="B36" s="405"/>
      <c r="C36" s="182">
        <f>'D.A. 8'!$O$23+'D.A. 8'!$P$25+'D.A. 8'!$P$27+'D.A. 8'!$P$29+'D.A. 8'!$P$31+'D.A. 8'!$O$33+'D.A. 8'!$O$35+'D.A. 8'!$O$37+'D.A. 8'!$O$39+'D.A. 8'!$P$41+'D.A. 8'!$O$43+'D.A. 8'!$P$45+'D.A. 8'!$P$47+'D.A. 8'!$P$49+'D.A. 8'!$P$51+'D.A. 8'!$P$53+'D.A. 8'!$O$55+'D.A. 8'!$P$57+'D.A. 8'!$O$59+'D.A. 8'!$P$61</f>
        <v>0</v>
      </c>
    </row>
    <row r="37" spans="1:14">
      <c r="A37" s="405" t="s">
        <v>100</v>
      </c>
      <c r="B37" s="405"/>
      <c r="C37" s="182">
        <f>C36*7.48</f>
        <v>0</v>
      </c>
    </row>
    <row r="38" spans="1:14">
      <c r="A38" s="276"/>
      <c r="B38" s="276"/>
      <c r="C38" s="124"/>
    </row>
    <row r="39" spans="1:14">
      <c r="A39" s="405" t="s">
        <v>208</v>
      </c>
      <c r="B39" s="405"/>
      <c r="C39" s="182">
        <f>'D.A. 9'!$B$11</f>
        <v>0</v>
      </c>
    </row>
    <row r="40" spans="1:14">
      <c r="A40" s="405" t="s">
        <v>82</v>
      </c>
      <c r="B40" s="405"/>
      <c r="C40" s="182">
        <f>'D.A. 9'!$O$23+'D.A. 9'!$P$25+'D.A. 9'!$P$27+'D.A. 9'!$P$29+'D.A. 9'!$P$31+'D.A. 9'!$O$33+'D.A. 9'!$O$35+'D.A. 9'!$O$37+'D.A. 9'!$O$39+'D.A. 9'!$P$41+'D.A. 9'!$O$43+'D.A. 9'!$P$45+'D.A. 9'!$P$47+'D.A. 9'!$P$49+'D.A. 9'!$P$51+'D.A. 9'!$P$53+'D.A. 9'!$O$55+'D.A. 9'!$P$57+'D.A. 9'!$O$59+'D.A. 9'!$P$61</f>
        <v>0</v>
      </c>
    </row>
    <row r="41" spans="1:14">
      <c r="A41" s="405" t="s">
        <v>100</v>
      </c>
      <c r="B41" s="405"/>
      <c r="C41" s="182">
        <f>C40*7.48</f>
        <v>0</v>
      </c>
    </row>
    <row r="42" spans="1:14">
      <c r="A42" s="276"/>
      <c r="B42" s="276"/>
      <c r="C42" s="124"/>
    </row>
    <row r="43" spans="1:14">
      <c r="A43" s="405" t="s">
        <v>209</v>
      </c>
      <c r="B43" s="405"/>
      <c r="C43" s="182">
        <f>'D.A. 10'!$B$11</f>
        <v>0</v>
      </c>
    </row>
    <row r="44" spans="1:14">
      <c r="A44" s="405" t="s">
        <v>82</v>
      </c>
      <c r="B44" s="405"/>
      <c r="C44" s="182">
        <f>'D.A. 10'!$O$23+'D.A. 10'!$P$25+'D.A. 10'!$P$27+'D.A. 10'!$P$29+'D.A. 10'!$P$31+'D.A. 10'!$O$33+'D.A. 10'!$O$35+'D.A. 10'!$O$37+'D.A. 10'!$O$39+'D.A. 10'!$P$41+'D.A. 10'!$O$43+'D.A. 10'!$P$45+'D.A. 10'!$P$47+'D.A. 10'!$P$49+'D.A. 10'!$P$51+'D.A. 10'!$P$53+'D.A. 10'!$O$55+'D.A. 10'!$P$57+'D.A. 10'!$O$59+'D.A. 10'!$P$61</f>
        <v>0</v>
      </c>
    </row>
    <row r="45" spans="1:14">
      <c r="A45" s="405" t="s">
        <v>100</v>
      </c>
      <c r="B45" s="405"/>
      <c r="C45" s="182">
        <f>C44*7.48</f>
        <v>0</v>
      </c>
    </row>
    <row r="46" spans="1:14">
      <c r="A46" s="17"/>
      <c r="B46" s="17"/>
      <c r="C46" s="232"/>
    </row>
    <row r="47" spans="1:14">
      <c r="A47" s="17"/>
      <c r="B47" s="17"/>
      <c r="C47" s="232"/>
      <c r="J47" s="408" t="s">
        <v>190</v>
      </c>
      <c r="K47" s="409"/>
      <c r="L47" s="409"/>
      <c r="M47" s="409"/>
      <c r="N47" s="410"/>
    </row>
    <row r="48" spans="1:14">
      <c r="A48" s="17"/>
      <c r="B48" s="17"/>
      <c r="C48" s="232"/>
      <c r="J48" s="2" t="str">
        <f>D4</f>
        <v>2-year storm</v>
      </c>
      <c r="K48" s="2" t="str">
        <f>E4</f>
        <v>15-year storm</v>
      </c>
      <c r="L48" s="2" t="str">
        <f>F4</f>
        <v>100-year storm</v>
      </c>
    </row>
    <row r="49" spans="1:14" ht="14.25">
      <c r="A49" s="38" t="s">
        <v>47</v>
      </c>
      <c r="B49" s="28"/>
      <c r="J49" s="88" t="s">
        <v>127</v>
      </c>
      <c r="K49" s="88" t="s">
        <v>127</v>
      </c>
      <c r="L49" s="88" t="s">
        <v>127</v>
      </c>
      <c r="M49" s="2" t="s">
        <v>8</v>
      </c>
      <c r="N49" s="2" t="s">
        <v>9</v>
      </c>
    </row>
    <row r="50" spans="1:14">
      <c r="A50" s="38"/>
      <c r="B50" s="28"/>
    </row>
    <row r="51" spans="1:14">
      <c r="A51" s="406" t="s">
        <v>146</v>
      </c>
      <c r="B51" s="406"/>
      <c r="C51" s="406"/>
      <c r="D51" s="406"/>
      <c r="E51" s="406"/>
      <c r="F51" s="406"/>
    </row>
    <row r="52" spans="1:14" ht="13.5" thickBot="1">
      <c r="A52" s="407" t="s">
        <v>28</v>
      </c>
      <c r="B52" s="407"/>
      <c r="C52" s="233"/>
      <c r="D52" s="227" t="s">
        <v>29</v>
      </c>
      <c r="E52" s="51"/>
      <c r="F52" s="51"/>
      <c r="G52" s="15"/>
      <c r="H52" s="2"/>
      <c r="J52" s="58">
        <f t="shared" ref="J52:L59" si="0">IF(D$5&gt;0.2*($N52),(D$5-0.2*($N52))^2/(D$5+0.8*($N52)),0)</f>
        <v>2.6315789473684258E-3</v>
      </c>
      <c r="K52" s="58">
        <f t="shared" si="0"/>
        <v>0.28139534883720935</v>
      </c>
      <c r="L52" s="58">
        <f t="shared" si="0"/>
        <v>1.4156553755522825</v>
      </c>
      <c r="M52" s="2">
        <v>40</v>
      </c>
      <c r="N52" s="58">
        <f t="shared" ref="N52:N115" si="1">IF(M52&gt;0,1000/M52-10,1000)</f>
        <v>15</v>
      </c>
    </row>
    <row r="53" spans="1:14">
      <c r="A53" s="394" t="s">
        <v>25</v>
      </c>
      <c r="B53" s="395"/>
      <c r="C53" s="85" t="s">
        <v>69</v>
      </c>
      <c r="D53" s="201">
        <f>'D.A. 1'!$B$6</f>
        <v>0</v>
      </c>
      <c r="E53" s="16"/>
      <c r="F53" s="16"/>
      <c r="G53" s="16"/>
      <c r="H53" s="2"/>
      <c r="J53" s="58">
        <f t="shared" si="0"/>
        <v>2.979711637419499E-3</v>
      </c>
      <c r="K53" s="58">
        <f t="shared" si="0"/>
        <v>0.28542173328384396</v>
      </c>
      <c r="L53" s="58">
        <f t="shared" si="0"/>
        <v>1.4257279976412027</v>
      </c>
      <c r="M53" s="2">
        <f t="shared" ref="M53:M59" si="2">M52+0.1</f>
        <v>40.1</v>
      </c>
      <c r="N53" s="58">
        <f t="shared" si="1"/>
        <v>14.937655860349125</v>
      </c>
    </row>
    <row r="54" spans="1:14" ht="13.5" thickBot="1">
      <c r="A54" s="396"/>
      <c r="B54" s="397"/>
      <c r="C54" s="86" t="s">
        <v>8</v>
      </c>
      <c r="D54" s="202">
        <v>70</v>
      </c>
      <c r="E54" s="115"/>
      <c r="F54" s="115"/>
      <c r="G54" s="115"/>
      <c r="H54" s="2"/>
      <c r="J54" s="58">
        <f t="shared" si="0"/>
        <v>3.3488330618914055E-3</v>
      </c>
      <c r="K54" s="58">
        <f t="shared" si="0"/>
        <v>0.2894694455107219</v>
      </c>
      <c r="L54" s="58">
        <f t="shared" si="0"/>
        <v>1.4358149304332826</v>
      </c>
      <c r="M54" s="2">
        <f t="shared" si="2"/>
        <v>40.200000000000003</v>
      </c>
      <c r="N54" s="58">
        <f t="shared" si="1"/>
        <v>14.875621890547261</v>
      </c>
    </row>
    <row r="55" spans="1:14">
      <c r="A55" s="394" t="s">
        <v>32</v>
      </c>
      <c r="B55" s="395"/>
      <c r="C55" s="85" t="s">
        <v>69</v>
      </c>
      <c r="D55" s="201">
        <f>'D.A. 1'!$B$7</f>
        <v>0</v>
      </c>
      <c r="E55" s="16"/>
      <c r="F55" s="16"/>
      <c r="G55" s="16"/>
      <c r="H55" s="2"/>
      <c r="J55" s="58">
        <f t="shared" si="0"/>
        <v>3.738840783283918E-3</v>
      </c>
      <c r="K55" s="58">
        <f t="shared" si="0"/>
        <v>0.29353837718363812</v>
      </c>
      <c r="L55" s="58">
        <f t="shared" si="0"/>
        <v>1.4459160586438378</v>
      </c>
      <c r="M55" s="2">
        <f t="shared" si="2"/>
        <v>40.300000000000004</v>
      </c>
      <c r="N55" s="58">
        <f t="shared" si="1"/>
        <v>14.813895781637715</v>
      </c>
    </row>
    <row r="56" spans="1:14" ht="13.5" thickBot="1">
      <c r="A56" s="396"/>
      <c r="B56" s="397"/>
      <c r="C56" s="86" t="s">
        <v>8</v>
      </c>
      <c r="D56" s="202">
        <v>74</v>
      </c>
      <c r="E56" s="115"/>
      <c r="F56" s="115"/>
      <c r="G56" s="115"/>
      <c r="H56" s="2"/>
      <c r="J56" s="58">
        <f t="shared" si="0"/>
        <v>4.1496335483601383E-3</v>
      </c>
      <c r="K56" s="58">
        <f t="shared" si="0"/>
        <v>0.29762842112303495</v>
      </c>
      <c r="L56" s="58">
        <f t="shared" si="0"/>
        <v>1.4560312681312062</v>
      </c>
      <c r="M56" s="2">
        <f t="shared" si="2"/>
        <v>40.400000000000006</v>
      </c>
      <c r="N56" s="58">
        <f t="shared" si="1"/>
        <v>14.75247524752475</v>
      </c>
    </row>
    <row r="57" spans="1:14">
      <c r="A57" s="394" t="s">
        <v>13</v>
      </c>
      <c r="B57" s="395"/>
      <c r="C57" s="85" t="s">
        <v>69</v>
      </c>
      <c r="D57" s="201">
        <f>'D.A. 1'!B8+'D.A. 1'!B10</f>
        <v>0</v>
      </c>
      <c r="E57" s="228" t="s">
        <v>7</v>
      </c>
      <c r="F57" s="229" t="s">
        <v>9</v>
      </c>
      <c r="G57" s="16"/>
      <c r="H57" s="2"/>
      <c r="J57" s="58">
        <f t="shared" si="0"/>
        <v>4.581111274198052E-3</v>
      </c>
      <c r="K57" s="58">
        <f t="shared" si="0"/>
        <v>0.30173947128991335</v>
      </c>
      <c r="L57" s="58">
        <f t="shared" si="0"/>
        <v>1.4661604458826294</v>
      </c>
      <c r="M57" s="2">
        <f t="shared" si="2"/>
        <v>40.500000000000007</v>
      </c>
      <c r="N57" s="58">
        <f t="shared" si="1"/>
        <v>14.691358024691354</v>
      </c>
    </row>
    <row r="58" spans="1:14" ht="13.5" thickBot="1">
      <c r="A58" s="396"/>
      <c r="B58" s="397"/>
      <c r="C58" s="86" t="s">
        <v>8</v>
      </c>
      <c r="D58" s="203">
        <v>98</v>
      </c>
      <c r="E58" s="200">
        <f>IF(C7&gt;0,(D53*D54+D55*D56+D57*D58)/C7,0)</f>
        <v>0</v>
      </c>
      <c r="F58" s="223">
        <f>IF(E58&gt;0,1000/E58-10,1000)</f>
        <v>1000</v>
      </c>
      <c r="G58" s="116"/>
      <c r="H58" s="2"/>
      <c r="J58" s="58">
        <f t="shared" si="0"/>
        <v>5.033175034451531E-3</v>
      </c>
      <c r="K58" s="58">
        <f t="shared" si="0"/>
        <v>0.305871422771954</v>
      </c>
      <c r="L58" s="58">
        <f t="shared" si="0"/>
        <v>1.4763034800003525</v>
      </c>
      <c r="M58" s="2">
        <f t="shared" si="2"/>
        <v>40.600000000000009</v>
      </c>
      <c r="N58" s="58">
        <f t="shared" si="1"/>
        <v>14.630541871921178</v>
      </c>
    </row>
    <row r="59" spans="1:14">
      <c r="B59" s="3"/>
      <c r="F59" s="88"/>
      <c r="H59" s="2"/>
      <c r="J59" s="58">
        <f t="shared" si="0"/>
        <v>5.5057270458170673E-3</v>
      </c>
      <c r="K59" s="58">
        <f t="shared" si="0"/>
        <v>0.31002417176984304</v>
      </c>
      <c r="L59" s="58">
        <f t="shared" si="0"/>
        <v>1.4864602596879286</v>
      </c>
      <c r="M59" s="2">
        <f t="shared" si="2"/>
        <v>40.70000000000001</v>
      </c>
      <c r="N59" s="58">
        <f t="shared" si="1"/>
        <v>14.570024570024565</v>
      </c>
    </row>
    <row r="60" spans="1:14">
      <c r="A60" s="40"/>
      <c r="C60" s="144"/>
      <c r="D60" s="221" t="str">
        <f>$D$4</f>
        <v>2-year storm</v>
      </c>
      <c r="E60" s="221" t="str">
        <f>$E$4</f>
        <v>15-year storm</v>
      </c>
      <c r="F60" s="221" t="str">
        <f>$F$4</f>
        <v>100-year storm</v>
      </c>
      <c r="G60" s="16"/>
      <c r="H60" s="24"/>
      <c r="J60" s="58">
        <f t="shared" ref="J60:J123" si="3">IF(D$5&gt;0.2*($N60),(D$5-0.2*($N60))^2/(D$5+0.8*($N60)),0)</f>
        <v>5.9986706547026074E-3</v>
      </c>
      <c r="K60" s="58">
        <f t="shared" ref="K60:K123" si="4">IF(E$5&gt;0.2*($N60),(E$5-0.2*($N60))^2/(E$5+0.8*($N60)),0)</f>
        <v>0.31419761558379805</v>
      </c>
      <c r="L60" s="58">
        <f t="shared" ref="L60:L123" si="5">IF(F$5&gt;0.2*($N60),(F$5-0.2*($N60))^2/(F$5+0.8*($N60)),0)</f>
        <v>1.4966306752367153</v>
      </c>
      <c r="M60" s="2">
        <f t="shared" ref="M60:M123" si="6">M59+0.1</f>
        <v>40.800000000000011</v>
      </c>
      <c r="N60" s="58">
        <f t="shared" si="1"/>
        <v>14.509803921568622</v>
      </c>
    </row>
    <row r="61" spans="1:14">
      <c r="A61" s="398" t="s">
        <v>91</v>
      </c>
      <c r="B61" s="398"/>
      <c r="C61" s="399"/>
      <c r="D61" s="223">
        <f>IF(D$5&gt;0.2*($F58),(D$5-0.2*($F58))^2/(D$5+0.8*($F58)),0)</f>
        <v>0</v>
      </c>
      <c r="E61" s="223">
        <f>IF(E$5&gt;0.2*($F58),(E$5-0.2*($F58))^2/(E$5+0.8*($F58)),0)</f>
        <v>0</v>
      </c>
      <c r="F61" s="223">
        <f>IF(F$5&gt;0.2*($F58),(F$5-0.2*($F58))^2/(F$5+0.8*($F58)),0)</f>
        <v>0</v>
      </c>
      <c r="J61" s="58">
        <f t="shared" si="3"/>
        <v>6.5119103240954155E-3</v>
      </c>
      <c r="K61" s="58">
        <f t="shared" si="4"/>
        <v>0.31839165260029506</v>
      </c>
      <c r="L61" s="58">
        <f t="shared" si="5"/>
        <v>1.506814618012583</v>
      </c>
      <c r="M61" s="2">
        <f t="shared" si="6"/>
        <v>40.900000000000013</v>
      </c>
      <c r="N61" s="58">
        <f t="shared" si="1"/>
        <v>14.44987775061124</v>
      </c>
    </row>
    <row r="62" spans="1:14">
      <c r="A62" s="398" t="s">
        <v>92</v>
      </c>
      <c r="B62" s="398"/>
      <c r="C62" s="399"/>
      <c r="D62" s="223">
        <f>IF($C$7&gt;0,D61-$C$8*12/$C$7,D61)</f>
        <v>0</v>
      </c>
      <c r="E62" s="223">
        <f>IF($C$7&gt;0,E61-$C$8*12/$C$7,E61)</f>
        <v>0</v>
      </c>
      <c r="F62" s="223">
        <f>IF($C$7&gt;0,F61-$C$8*12/$C$7,F61)</f>
        <v>0</v>
      </c>
      <c r="J62" s="58">
        <f t="shared" si="3"/>
        <v>7.0453516206250132E-3</v>
      </c>
      <c r="K62" s="58">
        <f t="shared" si="4"/>
        <v>0.32260618227898608</v>
      </c>
      <c r="L62" s="58">
        <f t="shared" si="5"/>
        <v>1.5170119804428051</v>
      </c>
      <c r="M62" s="2">
        <f t="shared" si="6"/>
        <v>41.000000000000014</v>
      </c>
      <c r="N62" s="58">
        <f t="shared" si="1"/>
        <v>14.390243902439018</v>
      </c>
    </row>
    <row r="63" spans="1:14">
      <c r="A63" s="220"/>
      <c r="B63" s="220"/>
      <c r="C63" s="29" t="s">
        <v>30</v>
      </c>
      <c r="D63" s="224">
        <f>IF(D62&gt;0,VLOOKUP(D62,J$52:$N$650,4),0)</f>
        <v>0</v>
      </c>
      <c r="E63" s="224">
        <f>IF(E62&gt;0,VLOOKUP(E62,K$52:$N$650,3),0)</f>
        <v>0</v>
      </c>
      <c r="F63" s="224">
        <f>IF(F62&gt;0,VLOOKUP(F62,L$52:$N$650,2),0)</f>
        <v>0</v>
      </c>
      <c r="J63" s="58">
        <f t="shared" si="3"/>
        <v>7.5989012018186849E-3</v>
      </c>
      <c r="K63" s="58">
        <f t="shared" si="4"/>
        <v>0.32684110513981285</v>
      </c>
      <c r="L63" s="58">
        <f t="shared" si="5"/>
        <v>1.5272226560031517</v>
      </c>
      <c r="M63" s="2">
        <f t="shared" si="6"/>
        <v>41.100000000000016</v>
      </c>
      <c r="N63" s="58">
        <f t="shared" si="1"/>
        <v>14.330900243308992</v>
      </c>
    </row>
    <row r="64" spans="1:14">
      <c r="A64" s="4"/>
      <c r="B64" s="3"/>
      <c r="F64" s="51"/>
      <c r="G64" s="15"/>
      <c r="H64" s="23"/>
      <c r="J64" s="58">
        <f t="shared" si="3"/>
        <v>8.1724668035451746E-3</v>
      </c>
      <c r="K64" s="58">
        <f t="shared" si="4"/>
        <v>0.33109632275030298</v>
      </c>
      <c r="L64" s="58">
        <f t="shared" si="5"/>
        <v>1.5374465392051559</v>
      </c>
      <c r="M64" s="2">
        <f t="shared" si="6"/>
        <v>41.200000000000017</v>
      </c>
      <c r="N64" s="58">
        <f t="shared" si="1"/>
        <v>14.271844660194166</v>
      </c>
    </row>
    <row r="65" spans="1:14">
      <c r="A65" s="406" t="s">
        <v>147</v>
      </c>
      <c r="B65" s="406"/>
      <c r="C65" s="406"/>
      <c r="D65" s="406"/>
      <c r="E65" s="406"/>
      <c r="F65" s="406"/>
      <c r="G65" s="84"/>
      <c r="H65" s="84"/>
      <c r="J65" s="58">
        <f t="shared" si="3"/>
        <v>8.7659572276448574E-3</v>
      </c>
      <c r="K65" s="58">
        <f t="shared" si="4"/>
        <v>0.33537173771305745</v>
      </c>
      <c r="L65" s="58">
        <f t="shared" si="5"/>
        <v>1.5476835255835821</v>
      </c>
      <c r="M65" s="2">
        <f t="shared" si="6"/>
        <v>41.300000000000018</v>
      </c>
      <c r="N65" s="58">
        <f t="shared" si="1"/>
        <v>14.213075060532677</v>
      </c>
    </row>
    <row r="66" spans="1:14" ht="13.5" thickBot="1">
      <c r="A66" s="407" t="s">
        <v>28</v>
      </c>
      <c r="B66" s="407"/>
      <c r="C66" s="233"/>
      <c r="D66" s="227" t="s">
        <v>29</v>
      </c>
      <c r="E66" s="51"/>
      <c r="F66" s="51"/>
      <c r="J66" s="58">
        <f t="shared" si="3"/>
        <v>9.3792823297417366E-3</v>
      </c>
      <c r="K66" s="58">
        <f t="shared" si="4"/>
        <v>0.3396672536534141</v>
      </c>
      <c r="L66" s="58">
        <f t="shared" si="5"/>
        <v>1.5579335116840645</v>
      </c>
      <c r="M66" s="2">
        <f t="shared" si="6"/>
        <v>41.40000000000002</v>
      </c>
      <c r="N66" s="58">
        <f t="shared" si="1"/>
        <v>14.154589371980666</v>
      </c>
    </row>
    <row r="67" spans="1:14">
      <c r="A67" s="394" t="s">
        <v>25</v>
      </c>
      <c r="B67" s="395"/>
      <c r="C67" s="85" t="s">
        <v>69</v>
      </c>
      <c r="D67" s="201">
        <f>'D.A. 2'!$B$6</f>
        <v>0</v>
      </c>
      <c r="E67" s="16"/>
      <c r="F67" s="16"/>
      <c r="J67" s="58">
        <f t="shared" si="3"/>
        <v>1.0012353007235467E-2</v>
      </c>
      <c r="K67" s="58">
        <f t="shared" si="4"/>
        <v>0.34398277520729392</v>
      </c>
      <c r="L67" s="58">
        <f t="shared" si="5"/>
        <v>1.5681963950509268</v>
      </c>
      <c r="M67" s="2">
        <f t="shared" si="6"/>
        <v>41.500000000000021</v>
      </c>
      <c r="N67" s="58">
        <f t="shared" si="1"/>
        <v>14.096385542168662</v>
      </c>
    </row>
    <row r="68" spans="1:14" ht="13.5" thickBot="1">
      <c r="A68" s="396"/>
      <c r="B68" s="397"/>
      <c r="C68" s="86" t="s">
        <v>8</v>
      </c>
      <c r="D68" s="202">
        <v>70</v>
      </c>
      <c r="E68" s="115"/>
      <c r="F68" s="115"/>
      <c r="J68" s="58">
        <f t="shared" si="3"/>
        <v>1.0665081187469394E-2</v>
      </c>
      <c r="K68" s="58">
        <f t="shared" si="4"/>
        <v>0.3483182080092202</v>
      </c>
      <c r="L68" s="58">
        <f t="shared" si="5"/>
        <v>1.578472074215179</v>
      </c>
      <c r="M68" s="2">
        <f t="shared" si="6"/>
        <v>41.600000000000023</v>
      </c>
      <c r="N68" s="58">
        <f t="shared" si="1"/>
        <v>14.038461538461526</v>
      </c>
    </row>
    <row r="69" spans="1:14">
      <c r="A69" s="394" t="s">
        <v>32</v>
      </c>
      <c r="B69" s="395"/>
      <c r="C69" s="85" t="s">
        <v>69</v>
      </c>
      <c r="D69" s="201">
        <f>'D.A. 2'!$B$7</f>
        <v>0</v>
      </c>
      <c r="E69" s="16"/>
      <c r="F69" s="16"/>
      <c r="J69" s="58">
        <f t="shared" si="3"/>
        <v>1.1337379816072626E-2</v>
      </c>
      <c r="K69" s="58">
        <f t="shared" si="4"/>
        <v>0.35267345868051292</v>
      </c>
      <c r="L69" s="58">
        <f t="shared" si="5"/>
        <v>1.588760448682687</v>
      </c>
      <c r="M69" s="2">
        <f t="shared" si="6"/>
        <v>41.700000000000024</v>
      </c>
      <c r="N69" s="58">
        <f t="shared" si="1"/>
        <v>13.980815347721808</v>
      </c>
    </row>
    <row r="70" spans="1:14" ht="13.5" thickBot="1">
      <c r="A70" s="396"/>
      <c r="B70" s="397"/>
      <c r="C70" s="86" t="s">
        <v>8</v>
      </c>
      <c r="D70" s="202">
        <v>74</v>
      </c>
      <c r="E70" s="115"/>
      <c r="F70" s="115"/>
      <c r="J70" s="58">
        <f t="shared" si="3"/>
        <v>1.2029162845472365E-2</v>
      </c>
      <c r="K70" s="58">
        <f t="shared" si="4"/>
        <v>0.35704843481765114</v>
      </c>
      <c r="L70" s="58">
        <f t="shared" si="5"/>
        <v>1.5990614189225105</v>
      </c>
      <c r="M70" s="2">
        <f t="shared" si="6"/>
        <v>41.800000000000026</v>
      </c>
      <c r="N70" s="58">
        <f t="shared" si="1"/>
        <v>13.923444976076539</v>
      </c>
    </row>
    <row r="71" spans="1:14">
      <c r="A71" s="394" t="s">
        <v>13</v>
      </c>
      <c r="B71" s="395"/>
      <c r="C71" s="85" t="s">
        <v>69</v>
      </c>
      <c r="D71" s="201">
        <f>'D.A. 2'!$B$8+'D.A. 2'!B10</f>
        <v>0</v>
      </c>
      <c r="E71" s="228" t="s">
        <v>7</v>
      </c>
      <c r="F71" s="229" t="s">
        <v>9</v>
      </c>
      <c r="J71" s="58">
        <f t="shared" si="3"/>
        <v>1.2740345223574236E-2</v>
      </c>
      <c r="K71" s="58">
        <f t="shared" si="4"/>
        <v>0.36144304498080321</v>
      </c>
      <c r="L71" s="58">
        <f t="shared" si="5"/>
        <v>1.6093748863554094</v>
      </c>
      <c r="M71" s="2">
        <f t="shared" si="6"/>
        <v>41.900000000000027</v>
      </c>
      <c r="N71" s="58">
        <f t="shared" si="1"/>
        <v>13.866348448687337</v>
      </c>
    </row>
    <row r="72" spans="1:14" ht="13.5" thickBot="1">
      <c r="A72" s="396"/>
      <c r="B72" s="397"/>
      <c r="C72" s="86" t="s">
        <v>8</v>
      </c>
      <c r="D72" s="203">
        <v>98</v>
      </c>
      <c r="E72" s="200">
        <f>IF(C11&gt;0,(D67*D68+D69*D70+D71*D72)/C11,0)</f>
        <v>0</v>
      </c>
      <c r="F72" s="223">
        <f>IF(E72&gt;0,1000/E72-10,1000)</f>
        <v>1000</v>
      </c>
      <c r="J72" s="58">
        <f t="shared" si="3"/>
        <v>1.3470842882607803E-2</v>
      </c>
      <c r="K72" s="58">
        <f t="shared" si="4"/>
        <v>0.36585719868252231</v>
      </c>
      <c r="L72" s="58">
        <f t="shared" si="5"/>
        <v>1.6197007533425145</v>
      </c>
      <c r="M72" s="2">
        <f t="shared" si="6"/>
        <v>42.000000000000028</v>
      </c>
      <c r="N72" s="58">
        <f t="shared" si="1"/>
        <v>13.809523809523792</v>
      </c>
    </row>
    <row r="73" spans="1:14">
      <c r="B73" s="3"/>
      <c r="F73" s="88"/>
      <c r="J73" s="58">
        <f t="shared" si="3"/>
        <v>1.4220572728133929E-2</v>
      </c>
      <c r="K73" s="58">
        <f t="shared" si="4"/>
        <v>0.37029080637660033</v>
      </c>
      <c r="L73" s="58">
        <f t="shared" si="5"/>
        <v>1.6300389231741552</v>
      </c>
      <c r="M73" s="2">
        <f t="shared" si="6"/>
        <v>42.10000000000003</v>
      </c>
      <c r="N73" s="58">
        <f t="shared" si="1"/>
        <v>13.752969121140126</v>
      </c>
    </row>
    <row r="74" spans="1:14">
      <c r="A74" s="40"/>
      <c r="C74" s="144"/>
      <c r="D74" s="221" t="str">
        <f>$D$4</f>
        <v>2-year storm</v>
      </c>
      <c r="E74" s="221" t="str">
        <f>$E$4</f>
        <v>15-year storm</v>
      </c>
      <c r="F74" s="221" t="str">
        <f>$F$4</f>
        <v>100-year storm</v>
      </c>
      <c r="J74" s="58">
        <f t="shared" si="3"/>
        <v>1.4989452628212378E-2</v>
      </c>
      <c r="K74" s="58">
        <f t="shared" si="4"/>
        <v>0.37474377944708442</v>
      </c>
      <c r="L74" s="58">
        <f t="shared" si="5"/>
        <v>1.6403893000588532</v>
      </c>
      <c r="M74" s="2">
        <f t="shared" si="6"/>
        <v>42.200000000000031</v>
      </c>
      <c r="N74" s="58">
        <f t="shared" si="1"/>
        <v>13.696682464454959</v>
      </c>
    </row>
    <row r="75" spans="1:14" ht="14.25">
      <c r="A75" s="398" t="s">
        <v>83</v>
      </c>
      <c r="B75" s="398"/>
      <c r="C75" s="399"/>
      <c r="D75" s="223">
        <f>IF(D$5&gt;0.2*($F72),(D$5-0.2*($F72))^2/(D$5+0.8*($F72)),0)</f>
        <v>0</v>
      </c>
      <c r="E75" s="223">
        <f>IF(E$5&gt;0.2*($F72),(E$5-0.2*($F72))^2/(E$5+0.8*($F72)),0)</f>
        <v>0</v>
      </c>
      <c r="F75" s="223">
        <f>IF(F$5&gt;0.2*($F72),(F$5-0.2*($F72))^2/(F$5+0.8*($F72)),0)</f>
        <v>0</v>
      </c>
      <c r="J75" s="58">
        <f t="shared" si="3"/>
        <v>1.5777401402725991E-2</v>
      </c>
      <c r="K75" s="58">
        <f t="shared" si="4"/>
        <v>0.37921603019744721</v>
      </c>
      <c r="L75" s="58">
        <f t="shared" si="5"/>
        <v>1.6507517891124681</v>
      </c>
      <c r="M75" s="2">
        <f t="shared" si="6"/>
        <v>42.300000000000033</v>
      </c>
      <c r="N75" s="58">
        <f t="shared" si="1"/>
        <v>13.640661938534262</v>
      </c>
    </row>
    <row r="76" spans="1:14" ht="14.25">
      <c r="A76" s="398" t="s">
        <v>84</v>
      </c>
      <c r="B76" s="398"/>
      <c r="C76" s="399"/>
      <c r="D76" s="223">
        <f>IF($C$11&gt;0,D75-$C$12*12/$C$11,D75)</f>
        <v>0</v>
      </c>
      <c r="E76" s="223">
        <f>IF($C$11&gt;0,E75-$C$12*12/$C$11,E75)</f>
        <v>0</v>
      </c>
      <c r="F76" s="223">
        <f>IF($C$11&gt;0,F75-$C$12*12/$C$11,F75)</f>
        <v>0</v>
      </c>
      <c r="J76" s="58">
        <f t="shared" si="3"/>
        <v>1.6584338812859593E-2</v>
      </c>
      <c r="K76" s="58">
        <f t="shared" si="4"/>
        <v>0.38370747183991205</v>
      </c>
      <c r="L76" s="58">
        <f t="shared" si="5"/>
        <v>1.661126296347496</v>
      </c>
      <c r="M76" s="2">
        <f t="shared" si="6"/>
        <v>42.400000000000034</v>
      </c>
      <c r="N76" s="58">
        <f t="shared" si="1"/>
        <v>13.584905660377341</v>
      </c>
    </row>
    <row r="77" spans="1:14">
      <c r="A77" s="220"/>
      <c r="B77" s="220"/>
      <c r="C77" s="29" t="s">
        <v>30</v>
      </c>
      <c r="D77" s="224">
        <f>IF(D76&gt;0,VLOOKUP(D76,J$52:$N$650,4),0)</f>
        <v>0</v>
      </c>
      <c r="E77" s="224">
        <f>IF(E76&gt;0,VLOOKUP(E76,K$52:$N$650,3),0)</f>
        <v>0</v>
      </c>
      <c r="F77" s="224">
        <f>IF(F76&gt;0,VLOOKUP(F76,L$52:$N$650,2),0)</f>
        <v>0</v>
      </c>
      <c r="J77" s="58">
        <f t="shared" si="3"/>
        <v>1.7410185550730661E-2</v>
      </c>
      <c r="K77" s="58">
        <f t="shared" si="4"/>
        <v>0.38821801848492865</v>
      </c>
      <c r="L77" s="58">
        <f t="shared" si="5"/>
        <v>1.6715127286625251</v>
      </c>
      <c r="M77" s="2">
        <f t="shared" si="6"/>
        <v>42.500000000000036</v>
      </c>
      <c r="N77" s="58">
        <f t="shared" si="1"/>
        <v>13.529411764705863</v>
      </c>
    </row>
    <row r="78" spans="1:14">
      <c r="J78" s="58">
        <f t="shared" si="3"/>
        <v>1.8254863229169367E-2</v>
      </c>
      <c r="K78" s="58">
        <f t="shared" si="4"/>
        <v>0.39274758513079672</v>
      </c>
      <c r="L78" s="58">
        <f t="shared" si="5"/>
        <v>1.6819109938318253</v>
      </c>
      <c r="M78" s="2">
        <f t="shared" si="6"/>
        <v>42.600000000000037</v>
      </c>
      <c r="N78" s="58">
        <f t="shared" si="1"/>
        <v>13.474178403755847</v>
      </c>
    </row>
    <row r="79" spans="1:14">
      <c r="A79" s="406" t="s">
        <v>148</v>
      </c>
      <c r="B79" s="406"/>
      <c r="C79" s="406"/>
      <c r="D79" s="406"/>
      <c r="E79" s="406"/>
      <c r="F79" s="406"/>
      <c r="J79" s="58">
        <f t="shared" si="3"/>
        <v>1.9118294371645882E-2</v>
      </c>
      <c r="K79" s="58">
        <f t="shared" si="4"/>
        <v>0.3972960876534376</v>
      </c>
      <c r="L79" s="58">
        <f t="shared" si="5"/>
        <v>1.6923210004951055</v>
      </c>
      <c r="M79" s="2">
        <f t="shared" si="6"/>
        <v>42.700000000000038</v>
      </c>
      <c r="N79" s="58">
        <f t="shared" si="1"/>
        <v>13.419203747072579</v>
      </c>
    </row>
    <row r="80" spans="1:14" ht="13.5" thickBot="1">
      <c r="A80" s="407" t="s">
        <v>28</v>
      </c>
      <c r="B80" s="407"/>
      <c r="C80" s="233"/>
      <c r="D80" s="227" t="s">
        <v>29</v>
      </c>
      <c r="E80" s="51"/>
      <c r="F80" s="51"/>
      <c r="J80" s="58">
        <f t="shared" si="3"/>
        <v>2.0000402402342313E-2</v>
      </c>
      <c r="K80" s="58">
        <f t="shared" si="4"/>
        <v>0.40186344279630909</v>
      </c>
      <c r="L80" s="58">
        <f t="shared" si="5"/>
        <v>1.7027426581473963</v>
      </c>
      <c r="M80" s="2">
        <f t="shared" si="6"/>
        <v>42.80000000000004</v>
      </c>
      <c r="N80" s="58">
        <f t="shared" si="1"/>
        <v>13.364485981308391</v>
      </c>
    </row>
    <row r="81" spans="1:14">
      <c r="A81" s="394" t="s">
        <v>25</v>
      </c>
      <c r="B81" s="395"/>
      <c r="C81" s="85" t="s">
        <v>69</v>
      </c>
      <c r="D81" s="201">
        <f>'D.A. 3'!$B$6</f>
        <v>0</v>
      </c>
      <c r="E81" s="16"/>
      <c r="F81" s="16"/>
      <c r="J81" s="58">
        <f t="shared" si="3"/>
        <v>2.090111163636655E-2</v>
      </c>
      <c r="K81" s="58">
        <f t="shared" si="4"/>
        <v>0.40644956816046035</v>
      </c>
      <c r="L81" s="58">
        <f t="shared" si="5"/>
        <v>1.7131758771290826</v>
      </c>
      <c r="M81" s="2">
        <f t="shared" si="6"/>
        <v>42.900000000000041</v>
      </c>
      <c r="N81" s="58">
        <f t="shared" si="1"/>
        <v>13.310023310023286</v>
      </c>
    </row>
    <row r="82" spans="1:14" ht="12.75" customHeight="1" thickBot="1">
      <c r="A82" s="396"/>
      <c r="B82" s="397"/>
      <c r="C82" s="86" t="s">
        <v>8</v>
      </c>
      <c r="D82" s="202">
        <v>70</v>
      </c>
      <c r="E82" s="115"/>
      <c r="F82" s="115"/>
      <c r="J82" s="58">
        <f t="shared" si="3"/>
        <v>2.1820347270106309E-2</v>
      </c>
      <c r="K82" s="58">
        <f t="shared" si="4"/>
        <v>0.41105438219472656</v>
      </c>
      <c r="L82" s="58">
        <f t="shared" si="5"/>
        <v>1.7236205686160702</v>
      </c>
      <c r="M82" s="2">
        <f t="shared" si="6"/>
        <v>43.000000000000043</v>
      </c>
      <c r="N82" s="58">
        <f t="shared" si="1"/>
        <v>13.255813953488349</v>
      </c>
    </row>
    <row r="83" spans="1:14" ht="12.75" customHeight="1">
      <c r="A83" s="394" t="s">
        <v>32</v>
      </c>
      <c r="B83" s="395"/>
      <c r="C83" s="85" t="s">
        <v>69</v>
      </c>
      <c r="D83" s="201">
        <f>'D.A. 3'!$B$7</f>
        <v>0</v>
      </c>
      <c r="E83" s="16"/>
      <c r="F83" s="16"/>
      <c r="J83" s="58">
        <f t="shared" si="3"/>
        <v>2.2758035371721431E-2</v>
      </c>
      <c r="K83" s="58">
        <f t="shared" si="4"/>
        <v>0.41567780418606326</v>
      </c>
      <c r="L83" s="58">
        <f t="shared" si="5"/>
        <v>1.7340766446101012</v>
      </c>
      <c r="M83" s="2">
        <f t="shared" si="6"/>
        <v>43.100000000000044</v>
      </c>
      <c r="N83" s="58">
        <f t="shared" si="1"/>
        <v>13.201856148491856</v>
      </c>
    </row>
    <row r="84" spans="1:14" ht="12.75" customHeight="1" thickBot="1">
      <c r="A84" s="396"/>
      <c r="B84" s="397"/>
      <c r="C84" s="86" t="s">
        <v>8</v>
      </c>
      <c r="D84" s="202">
        <v>74</v>
      </c>
      <c r="E84" s="115"/>
      <c r="F84" s="115"/>
      <c r="J84" s="58">
        <f t="shared" si="3"/>
        <v>2.3714102871770702E-2</v>
      </c>
      <c r="K84" s="58">
        <f t="shared" si="4"/>
        <v>0.42031975425001078</v>
      </c>
      <c r="L84" s="58">
        <f t="shared" si="5"/>
        <v>1.7445440179291867</v>
      </c>
      <c r="M84" s="2">
        <f t="shared" si="6"/>
        <v>43.200000000000045</v>
      </c>
      <c r="N84" s="58">
        <f t="shared" si="1"/>
        <v>13.148148148148124</v>
      </c>
    </row>
    <row r="85" spans="1:14" ht="12.75" customHeight="1">
      <c r="A85" s="394" t="s">
        <v>13</v>
      </c>
      <c r="B85" s="395"/>
      <c r="C85" s="85" t="s">
        <v>69</v>
      </c>
      <c r="D85" s="201">
        <f>'D.A. 3'!$B$8+'D.A. 3'!B10</f>
        <v>0</v>
      </c>
      <c r="E85" s="228" t="s">
        <v>7</v>
      </c>
      <c r="F85" s="229" t="s">
        <v>9</v>
      </c>
      <c r="H85" s="41"/>
      <c r="J85" s="58">
        <f t="shared" si="3"/>
        <v>2.4688477553972819E-2</v>
      </c>
      <c r="K85" s="58">
        <f t="shared" si="4"/>
        <v>0.42498015332129435</v>
      </c>
      <c r="L85" s="58">
        <f t="shared" si="5"/>
        <v>1.7550226021981836</v>
      </c>
      <c r="M85" s="2">
        <f t="shared" si="6"/>
        <v>43.300000000000047</v>
      </c>
      <c r="N85" s="58">
        <f t="shared" si="1"/>
        <v>13.094688221708982</v>
      </c>
    </row>
    <row r="86" spans="1:14" ht="12.75" customHeight="1" thickBot="1">
      <c r="A86" s="396"/>
      <c r="B86" s="397"/>
      <c r="C86" s="86" t="s">
        <v>8</v>
      </c>
      <c r="D86" s="203">
        <v>98</v>
      </c>
      <c r="E86" s="200">
        <f>IF(C15&gt;0,(D81*D82+D83*D84+D85*D86)/C15,0)</f>
        <v>0</v>
      </c>
      <c r="F86" s="223">
        <f>IF(E86&gt;0,1000/E86-10,1000)</f>
        <v>1000</v>
      </c>
      <c r="H86" s="79"/>
      <c r="J86" s="58">
        <f t="shared" si="3"/>
        <v>2.5681088046098376E-2</v>
      </c>
      <c r="K86" s="58">
        <f t="shared" si="4"/>
        <v>0.42965892314455356</v>
      </c>
      <c r="L86" s="58">
        <f t="shared" si="5"/>
        <v>1.7655123118395002</v>
      </c>
      <c r="M86" s="2">
        <f t="shared" si="6"/>
        <v>43.400000000000048</v>
      </c>
      <c r="N86" s="58">
        <f t="shared" si="1"/>
        <v>13.041474654377854</v>
      </c>
    </row>
    <row r="87" spans="1:14" ht="12.75" customHeight="1">
      <c r="B87" s="3"/>
      <c r="F87" s="88"/>
      <c r="H87" s="79"/>
      <c r="J87" s="58">
        <f t="shared" si="3"/>
        <v>2.6691863810990823E-2</v>
      </c>
      <c r="K87" s="58">
        <f t="shared" si="4"/>
        <v>0.43435598626520061</v>
      </c>
      <c r="L87" s="58">
        <f t="shared" si="5"/>
        <v>1.7760130620639285</v>
      </c>
      <c r="M87" s="2">
        <f t="shared" si="6"/>
        <v>43.50000000000005</v>
      </c>
      <c r="N87" s="58">
        <f t="shared" si="1"/>
        <v>12.98850574712641</v>
      </c>
    </row>
    <row r="88" spans="1:14" ht="12.75" customHeight="1">
      <c r="A88" s="40"/>
      <c r="C88" s="144"/>
      <c r="D88" s="221" t="str">
        <f>$D$4</f>
        <v>2-year storm</v>
      </c>
      <c r="E88" s="221" t="str">
        <f>$E$4</f>
        <v>15-year storm</v>
      </c>
      <c r="F88" s="221" t="str">
        <f>$F$4</f>
        <v>100-year storm</v>
      </c>
      <c r="H88" s="79"/>
      <c r="J88" s="58">
        <f t="shared" si="3"/>
        <v>2.7720735137714614E-2</v>
      </c>
      <c r="K88" s="58">
        <f t="shared" si="4"/>
        <v>0.43907126602040381</v>
      </c>
      <c r="L88" s="58">
        <f t="shared" si="5"/>
        <v>1.7865247688615991</v>
      </c>
      <c r="M88" s="2">
        <f t="shared" si="6"/>
        <v>43.600000000000051</v>
      </c>
      <c r="N88" s="58">
        <f t="shared" si="1"/>
        <v>12.935779816513733</v>
      </c>
    </row>
    <row r="89" spans="1:14" ht="12.75" customHeight="1">
      <c r="A89" s="398" t="s">
        <v>83</v>
      </c>
      <c r="B89" s="398"/>
      <c r="C89" s="399"/>
      <c r="D89" s="223">
        <f>IF(D$5&gt;0.2*($F86),(D$5-0.2*($F86))^2/(D$5+0.8*($F86)),0)</f>
        <v>0</v>
      </c>
      <c r="E89" s="223">
        <f>IF(E$5&gt;0.2*($F86),(E$5-0.2*($F86))^2/(E$5+0.8*($F86)),0)</f>
        <v>0</v>
      </c>
      <c r="F89" s="223">
        <f>IF(F$5&gt;0.2*($F86),(F$5-0.2*($F86))^2/(F$5+0.8*($F86)),0)</f>
        <v>0</v>
      </c>
      <c r="H89" s="79"/>
      <c r="J89" s="58">
        <f t="shared" si="3"/>
        <v>2.8767633132828554E-2</v>
      </c>
      <c r="K89" s="58">
        <f t="shared" si="4"/>
        <v>0.44380468653019634</v>
      </c>
      <c r="L89" s="58">
        <f t="shared" si="5"/>
        <v>1.7970473489930703</v>
      </c>
      <c r="M89" s="2">
        <f t="shared" si="6"/>
        <v>43.700000000000053</v>
      </c>
      <c r="N89" s="58">
        <f t="shared" si="1"/>
        <v>12.88329519450798</v>
      </c>
    </row>
    <row r="90" spans="1:14" ht="12.75" customHeight="1">
      <c r="A90" s="398" t="s">
        <v>84</v>
      </c>
      <c r="B90" s="398"/>
      <c r="C90" s="399"/>
      <c r="D90" s="223">
        <f>IF($C$15&gt;0,D89-$C$16*12/$C$15,D89)</f>
        <v>0</v>
      </c>
      <c r="E90" s="223">
        <f>IF($C$15&gt;0,E89-$C$16*12/$C$15,E89)</f>
        <v>0</v>
      </c>
      <c r="F90" s="223">
        <f>IF($C$15&gt;0,F89-$C$16*12/$C$15,F89)</f>
        <v>0</v>
      </c>
      <c r="H90" s="79"/>
      <c r="J90" s="58">
        <f t="shared" si="3"/>
        <v>2.9832489711781811E-2</v>
      </c>
      <c r="K90" s="58">
        <f t="shared" si="4"/>
        <v>0.4485561726887059</v>
      </c>
      <c r="L90" s="58">
        <f t="shared" si="5"/>
        <v>1.8075807199805254</v>
      </c>
      <c r="M90" s="2">
        <f t="shared" si="6"/>
        <v>43.800000000000054</v>
      </c>
      <c r="N90" s="58">
        <f t="shared" si="1"/>
        <v>12.831050228310474</v>
      </c>
    </row>
    <row r="91" spans="1:14" ht="12.75" customHeight="1">
      <c r="A91" s="220"/>
      <c r="B91" s="220"/>
      <c r="C91" s="29" t="s">
        <v>30</v>
      </c>
      <c r="D91" s="224">
        <f>IF(D90&gt;0,VLOOKUP(D90,J$52:$N$650,4),0)</f>
        <v>0</v>
      </c>
      <c r="E91" s="224">
        <f>IF(E90&gt;0,VLOOKUP(E90,K$52:$N$650,3),0)</f>
        <v>0</v>
      </c>
      <c r="F91" s="224">
        <f>IF(F90&gt;0,VLOOKUP(F90,L$52:$N$650,2),0)</f>
        <v>0</v>
      </c>
      <c r="H91" s="79"/>
      <c r="J91" s="58">
        <f t="shared" si="3"/>
        <v>3.0915237590431785E-2</v>
      </c>
      <c r="K91" s="58">
        <f t="shared" si="4"/>
        <v>0.45332565015550758</v>
      </c>
      <c r="L91" s="58">
        <f t="shared" si="5"/>
        <v>1.8181248000991046</v>
      </c>
      <c r="M91" s="2">
        <f t="shared" si="6"/>
        <v>43.900000000000055</v>
      </c>
      <c r="N91" s="58">
        <f t="shared" si="1"/>
        <v>12.779043280182204</v>
      </c>
    </row>
    <row r="92" spans="1:14" ht="12.75" customHeight="1">
      <c r="H92" s="79"/>
      <c r="J92" s="58">
        <f t="shared" si="3"/>
        <v>3.2015810276680483E-2</v>
      </c>
      <c r="K92" s="58">
        <f t="shared" si="4"/>
        <v>0.45811304534709069</v>
      </c>
      <c r="L92" s="58">
        <f t="shared" si="5"/>
        <v>1.8286795083683465</v>
      </c>
      <c r="M92" s="2">
        <f t="shared" si="6"/>
        <v>44.000000000000057</v>
      </c>
      <c r="N92" s="58">
        <f t="shared" si="1"/>
        <v>12.727272727272698</v>
      </c>
    </row>
    <row r="93" spans="1:14" ht="12.75" customHeight="1">
      <c r="A93" s="406" t="s">
        <v>149</v>
      </c>
      <c r="B93" s="406"/>
      <c r="C93" s="406"/>
      <c r="D93" s="406"/>
      <c r="E93" s="406"/>
      <c r="F93" s="406"/>
      <c r="H93" s="79"/>
      <c r="J93" s="58">
        <f t="shared" si="3"/>
        <v>3.3134142062228499E-2</v>
      </c>
      <c r="K93" s="58">
        <f t="shared" si="4"/>
        <v>0.46291828542844515</v>
      </c>
      <c r="L93" s="58">
        <f t="shared" si="5"/>
        <v>1.8392447645437429</v>
      </c>
      <c r="M93" s="2">
        <f t="shared" si="6"/>
        <v>44.100000000000058</v>
      </c>
      <c r="N93" s="58">
        <f t="shared" si="1"/>
        <v>12.675736961451218</v>
      </c>
    </row>
    <row r="94" spans="1:14" ht="12.75" customHeight="1" thickBot="1">
      <c r="A94" s="407" t="s">
        <v>28</v>
      </c>
      <c r="B94" s="407"/>
      <c r="C94" s="233"/>
      <c r="D94" s="227" t="s">
        <v>29</v>
      </c>
      <c r="E94" s="51"/>
      <c r="F94" s="51"/>
      <c r="H94" s="79"/>
      <c r="J94" s="58">
        <f t="shared" si="3"/>
        <v>3.4270168014444838E-2</v>
      </c>
      <c r="K94" s="58">
        <f t="shared" si="4"/>
        <v>0.46774129830476269</v>
      </c>
      <c r="L94" s="58">
        <f t="shared" si="5"/>
        <v>1.8498204891084202</v>
      </c>
      <c r="M94" s="2">
        <f t="shared" si="6"/>
        <v>44.20000000000006</v>
      </c>
      <c r="N94" s="58">
        <f t="shared" si="1"/>
        <v>12.624434389140241</v>
      </c>
    </row>
    <row r="95" spans="1:14" ht="12.75" customHeight="1">
      <c r="A95" s="394" t="s">
        <v>25</v>
      </c>
      <c r="B95" s="395"/>
      <c r="C95" s="85" t="s">
        <v>69</v>
      </c>
      <c r="D95" s="201">
        <f>'D.A. 4'!$B$6</f>
        <v>0</v>
      </c>
      <c r="E95" s="16"/>
      <c r="F95" s="16"/>
      <c r="J95" s="58">
        <f t="shared" si="3"/>
        <v>3.5423823968350018E-2</v>
      </c>
      <c r="K95" s="58">
        <f t="shared" si="4"/>
        <v>0.47258201261324873</v>
      </c>
      <c r="L95" s="58">
        <f t="shared" si="5"/>
        <v>1.8604066032649236</v>
      </c>
      <c r="M95" s="2">
        <f t="shared" si="6"/>
        <v>44.300000000000061</v>
      </c>
      <c r="N95" s="58">
        <f t="shared" si="1"/>
        <v>12.573363431151211</v>
      </c>
    </row>
    <row r="96" spans="1:14" ht="12.75" customHeight="1" thickBot="1">
      <c r="A96" s="396"/>
      <c r="B96" s="397"/>
      <c r="C96" s="86" t="s">
        <v>8</v>
      </c>
      <c r="D96" s="202">
        <v>70</v>
      </c>
      <c r="E96" s="115"/>
      <c r="F96" s="115"/>
      <c r="J96" s="58">
        <f t="shared" si="3"/>
        <v>3.6595046518711406E-2</v>
      </c>
      <c r="K96" s="58">
        <f t="shared" si="4"/>
        <v>0.47744035771504706</v>
      </c>
      <c r="L96" s="58">
        <f t="shared" si="5"/>
        <v>1.8710030289271145</v>
      </c>
      <c r="M96" s="2">
        <f t="shared" si="6"/>
        <v>44.400000000000063</v>
      </c>
      <c r="N96" s="58">
        <f t="shared" si="1"/>
        <v>12.52252252252249</v>
      </c>
    </row>
    <row r="97" spans="1:14" ht="12.75" customHeight="1">
      <c r="A97" s="394" t="s">
        <v>32</v>
      </c>
      <c r="B97" s="395"/>
      <c r="C97" s="85" t="s">
        <v>69</v>
      </c>
      <c r="D97" s="201">
        <f>'D.A. 4'!$B$7</f>
        <v>0</v>
      </c>
      <c r="E97" s="16"/>
      <c r="F97" s="16"/>
      <c r="J97" s="58">
        <f t="shared" si="3"/>
        <v>3.778377301224848E-2</v>
      </c>
      <c r="K97" s="58">
        <f t="shared" si="4"/>
        <v>0.48231626368727315</v>
      </c>
      <c r="L97" s="58">
        <f t="shared" si="5"/>
        <v>1.8816096887121769</v>
      </c>
      <c r="M97" s="2">
        <f t="shared" si="6"/>
        <v>44.500000000000064</v>
      </c>
      <c r="N97" s="58">
        <f t="shared" si="1"/>
        <v>12.471910112359517</v>
      </c>
    </row>
    <row r="98" spans="1:14" ht="12.75" customHeight="1" thickBot="1">
      <c r="A98" s="396"/>
      <c r="B98" s="397"/>
      <c r="C98" s="86" t="s">
        <v>8</v>
      </c>
      <c r="D98" s="202">
        <v>74</v>
      </c>
      <c r="E98" s="115"/>
      <c r="F98" s="115"/>
      <c r="J98" s="58">
        <f t="shared" si="3"/>
        <v>3.8989941539946893E-2</v>
      </c>
      <c r="K98" s="58">
        <f t="shared" si="4"/>
        <v>0.48720966131515503</v>
      </c>
      <c r="L98" s="58">
        <f t="shared" si="5"/>
        <v>1.8922265059327359</v>
      </c>
      <c r="M98" s="2">
        <f t="shared" si="6"/>
        <v>44.600000000000065</v>
      </c>
      <c r="N98" s="58">
        <f t="shared" si="1"/>
        <v>12.421524663677097</v>
      </c>
    </row>
    <row r="99" spans="1:14" ht="12.75" customHeight="1">
      <c r="A99" s="394" t="s">
        <v>13</v>
      </c>
      <c r="B99" s="395"/>
      <c r="C99" s="85" t="s">
        <v>69</v>
      </c>
      <c r="D99" s="201">
        <f>'D.A. 4'!$B$8+'D.A. 4'!B10</f>
        <v>0</v>
      </c>
      <c r="E99" s="228" t="s">
        <v>7</v>
      </c>
      <c r="F99" s="229" t="s">
        <v>9</v>
      </c>
      <c r="J99" s="58">
        <f t="shared" si="3"/>
        <v>4.0213490929479317E-2</v>
      </c>
      <c r="K99" s="58">
        <f t="shared" si="4"/>
        <v>0.49212048208428077</v>
      </c>
      <c r="L99" s="58">
        <f t="shared" si="5"/>
        <v>1.902853404589075</v>
      </c>
      <c r="M99" s="2">
        <f t="shared" si="6"/>
        <v>44.700000000000067</v>
      </c>
      <c r="N99" s="58">
        <f t="shared" si="1"/>
        <v>12.371364653243816</v>
      </c>
    </row>
    <row r="100" spans="1:14" ht="12.75" customHeight="1" thickBot="1">
      <c r="A100" s="396"/>
      <c r="B100" s="397"/>
      <c r="C100" s="86" t="s">
        <v>8</v>
      </c>
      <c r="D100" s="203">
        <v>98</v>
      </c>
      <c r="E100" s="200">
        <f>IF(C19&gt;0,(D95*D96+D97*D98+D99*D100)/C19,0)</f>
        <v>0</v>
      </c>
      <c r="F100" s="223">
        <f>IF(E100&gt;0,1000/E100-10,1000)</f>
        <v>1000</v>
      </c>
      <c r="J100" s="58">
        <f t="shared" si="3"/>
        <v>4.1454360737731372E-2</v>
      </c>
      <c r="K100" s="58">
        <f t="shared" si="4"/>
        <v>0.49704865817294985</v>
      </c>
      <c r="L100" s="58">
        <f t="shared" si="5"/>
        <v>1.9134903093614652</v>
      </c>
      <c r="M100" s="2">
        <f t="shared" si="6"/>
        <v>44.800000000000068</v>
      </c>
      <c r="N100" s="58">
        <f t="shared" si="1"/>
        <v>12.321428571428537</v>
      </c>
    </row>
    <row r="101" spans="1:14" ht="12.75" customHeight="1">
      <c r="B101" s="3"/>
      <c r="F101" s="88"/>
      <c r="J101" s="58">
        <f t="shared" si="3"/>
        <v>4.2712491243430725E-2</v>
      </c>
      <c r="K101" s="58">
        <f t="shared" si="4"/>
        <v>0.50199412244462549</v>
      </c>
      <c r="L101" s="58">
        <f t="shared" si="5"/>
        <v>1.9241371456025871</v>
      </c>
      <c r="M101" s="2">
        <f t="shared" si="6"/>
        <v>44.90000000000007</v>
      </c>
      <c r="N101" s="58">
        <f t="shared" si="1"/>
        <v>12.271714922048965</v>
      </c>
    </row>
    <row r="102" spans="1:14" ht="12.75" customHeight="1">
      <c r="A102" s="40"/>
      <c r="C102" s="144"/>
      <c r="D102" s="221" t="str">
        <f>$D$4</f>
        <v>2-year storm</v>
      </c>
      <c r="E102" s="221" t="str">
        <f>$E$4</f>
        <v>15-year storm</v>
      </c>
      <c r="F102" s="221" t="str">
        <f>$F$4</f>
        <v>100-year storm</v>
      </c>
      <c r="J102" s="58">
        <f t="shared" si="3"/>
        <v>4.3987823439879156E-2</v>
      </c>
      <c r="K102" s="58">
        <f t="shared" si="4"/>
        <v>0.50695680844049151</v>
      </c>
      <c r="L102" s="58">
        <f t="shared" si="5"/>
        <v>1.9347938393300614</v>
      </c>
      <c r="M102" s="2">
        <f t="shared" si="6"/>
        <v>45.000000000000071</v>
      </c>
      <c r="N102" s="58">
        <f t="shared" si="1"/>
        <v>12.222222222222186</v>
      </c>
    </row>
    <row r="103" spans="1:14" ht="12.75" customHeight="1">
      <c r="A103" s="398" t="s">
        <v>83</v>
      </c>
      <c r="B103" s="398"/>
      <c r="C103" s="399"/>
      <c r="D103" s="223">
        <f>IF(D$5&gt;0.2*($F100),(D$5-0.2*($F100))^2/(D$5+0.8*($F100)),0)</f>
        <v>0</v>
      </c>
      <c r="E103" s="223">
        <f>IF(E$5&gt;0.2*($F100),(E$5-0.2*($F100))^2/(E$5+0.8*($F100)),0)</f>
        <v>0</v>
      </c>
      <c r="F103" s="223">
        <f>IF(F$5&gt;0.2*($F100),(F$5-0.2*($F100))^2/(F$5+0.8*($F100)),0)</f>
        <v>0</v>
      </c>
      <c r="J103" s="58">
        <f t="shared" si="3"/>
        <v>4.528029902778373E-2</v>
      </c>
      <c r="K103" s="58">
        <f t="shared" si="4"/>
        <v>0.51193665037210456</v>
      </c>
      <c r="L103" s="58">
        <f t="shared" si="5"/>
        <v>1.9454603172190785</v>
      </c>
      <c r="M103" s="2">
        <f t="shared" si="6"/>
        <v>45.100000000000072</v>
      </c>
      <c r="N103" s="58">
        <f t="shared" si="1"/>
        <v>12.172949002217258</v>
      </c>
    </row>
    <row r="104" spans="1:14" ht="12.75" customHeight="1">
      <c r="A104" s="398" t="s">
        <v>84</v>
      </c>
      <c r="B104" s="398"/>
      <c r="C104" s="399"/>
      <c r="D104" s="223">
        <f>IF($C$19&gt;0,D103-$C$20*12/$C$19,D103)</f>
        <v>0</v>
      </c>
      <c r="E104" s="223">
        <f>IF($C$19&gt;0,E103-$C$20*12/$C$19,E103)</f>
        <v>0</v>
      </c>
      <c r="F104" s="223">
        <f>IF($C$19&gt;0,F103-$C$20*12/$C$19,F103)</f>
        <v>0</v>
      </c>
      <c r="J104" s="58">
        <f t="shared" si="3"/>
        <v>4.6589860408188001E-2</v>
      </c>
      <c r="K104" s="58">
        <f t="shared" si="4"/>
        <v>0.51693358311414794</v>
      </c>
      <c r="L104" s="58">
        <f t="shared" si="5"/>
        <v>1.9561365065951224</v>
      </c>
      <c r="M104" s="2">
        <f t="shared" si="6"/>
        <v>45.200000000000074</v>
      </c>
      <c r="N104" s="58">
        <f t="shared" si="1"/>
        <v>12.123893805309699</v>
      </c>
    </row>
    <row r="105" spans="1:14" ht="12.75" customHeight="1">
      <c r="A105" s="220"/>
      <c r="B105" s="220"/>
      <c r="C105" s="29" t="s">
        <v>30</v>
      </c>
      <c r="D105" s="224">
        <f>IF(D104&gt;0,VLOOKUP(D104,J$52:$N$650,4),0)</f>
        <v>0</v>
      </c>
      <c r="E105" s="224">
        <f>IF(E104&gt;0,VLOOKUP(E104,K$52:$N$650,3),0)</f>
        <v>0</v>
      </c>
      <c r="F105" s="224">
        <f>IF(F104&gt;0,VLOOKUP(F104,L$52:$N$650,2),0)</f>
        <v>0</v>
      </c>
      <c r="J105" s="58">
        <f t="shared" si="3"/>
        <v>4.7916450675500113E-2</v>
      </c>
      <c r="K105" s="58">
        <f t="shared" si="4"/>
        <v>0.52194754219728035</v>
      </c>
      <c r="L105" s="58">
        <f t="shared" si="5"/>
        <v>1.9668223354267957</v>
      </c>
      <c r="M105" s="2">
        <f t="shared" si="6"/>
        <v>45.300000000000075</v>
      </c>
      <c r="N105" s="58">
        <f t="shared" si="1"/>
        <v>12.075055187637933</v>
      </c>
    </row>
    <row r="106" spans="1:14" ht="12.75" customHeight="1">
      <c r="J106" s="58">
        <f t="shared" si="3"/>
        <v>4.9260013610616313E-2</v>
      </c>
      <c r="K106" s="58">
        <f t="shared" si="4"/>
        <v>0.52697846380107816</v>
      </c>
      <c r="L106" s="58">
        <f t="shared" si="5"/>
        <v>1.9775177323187283</v>
      </c>
      <c r="M106" s="2">
        <f t="shared" si="6"/>
        <v>45.400000000000077</v>
      </c>
      <c r="N106" s="58">
        <f t="shared" si="1"/>
        <v>12.026431718061637</v>
      </c>
    </row>
    <row r="107" spans="1:14" ht="12.75" customHeight="1">
      <c r="A107" s="400" t="s">
        <v>150</v>
      </c>
      <c r="B107" s="401"/>
      <c r="C107" s="401"/>
      <c r="D107" s="401"/>
      <c r="E107" s="401"/>
      <c r="F107" s="402"/>
      <c r="J107" s="58">
        <f t="shared" si="3"/>
        <v>5.0620493674139899E-2</v>
      </c>
      <c r="K107" s="58">
        <f t="shared" si="4"/>
        <v>0.53202628474707392</v>
      </c>
      <c r="L107" s="58">
        <f t="shared" si="5"/>
        <v>1.9882226265046008</v>
      </c>
      <c r="M107" s="2">
        <f t="shared" si="6"/>
        <v>45.500000000000078</v>
      </c>
      <c r="N107" s="58">
        <f t="shared" si="1"/>
        <v>11.978021978021939</v>
      </c>
    </row>
    <row r="108" spans="1:14" ht="12.75" customHeight="1" thickBot="1">
      <c r="A108" s="403" t="s">
        <v>28</v>
      </c>
      <c r="B108" s="404"/>
      <c r="C108" s="233"/>
      <c r="D108" s="227" t="s">
        <v>29</v>
      </c>
      <c r="E108" s="51"/>
      <c r="F108" s="51"/>
      <c r="J108" s="58">
        <f t="shared" si="3"/>
        <v>5.1997835999691919E-2</v>
      </c>
      <c r="K108" s="58">
        <f t="shared" si="4"/>
        <v>0.53709094249188327</v>
      </c>
      <c r="L108" s="58">
        <f t="shared" si="5"/>
        <v>1.9989369478402323</v>
      </c>
      <c r="M108" s="2">
        <f t="shared" si="6"/>
        <v>45.60000000000008</v>
      </c>
      <c r="N108" s="58">
        <f t="shared" si="1"/>
        <v>11.929824561403471</v>
      </c>
    </row>
    <row r="109" spans="1:14" ht="12.75" customHeight="1">
      <c r="A109" s="394" t="s">
        <v>25</v>
      </c>
      <c r="B109" s="395"/>
      <c r="C109" s="85" t="s">
        <v>69</v>
      </c>
      <c r="D109" s="201">
        <f>'D.A. 5'!$B$6</f>
        <v>0</v>
      </c>
      <c r="E109" s="16"/>
      <c r="F109" s="16"/>
      <c r="J109" s="58">
        <f t="shared" si="3"/>
        <v>5.3391986387315134E-2</v>
      </c>
      <c r="K109" s="58">
        <f t="shared" si="4"/>
        <v>0.5421723751204286</v>
      </c>
      <c r="L109" s="58">
        <f t="shared" si="5"/>
        <v>2.0096606267967871</v>
      </c>
      <c r="M109" s="2">
        <f t="shared" si="6"/>
        <v>45.700000000000081</v>
      </c>
      <c r="N109" s="58">
        <f t="shared" si="1"/>
        <v>11.88183807439821</v>
      </c>
    </row>
    <row r="110" spans="1:14" ht="12.75" customHeight="1" thickBot="1">
      <c r="A110" s="396"/>
      <c r="B110" s="397"/>
      <c r="C110" s="86" t="s">
        <v>8</v>
      </c>
      <c r="D110" s="202">
        <v>70</v>
      </c>
      <c r="E110" s="115"/>
      <c r="F110" s="115"/>
      <c r="J110" s="58">
        <f t="shared" si="3"/>
        <v>5.4802891296966062E-2</v>
      </c>
      <c r="K110" s="58">
        <f t="shared" si="4"/>
        <v>0.54727052133924314</v>
      </c>
      <c r="L110" s="58">
        <f t="shared" si="5"/>
        <v>2.0203935944540441</v>
      </c>
      <c r="M110" s="2">
        <f t="shared" si="6"/>
        <v>45.800000000000082</v>
      </c>
      <c r="N110" s="58">
        <f t="shared" si="1"/>
        <v>11.83406113537114</v>
      </c>
    </row>
    <row r="111" spans="1:14" ht="12.75" customHeight="1">
      <c r="A111" s="394" t="s">
        <v>32</v>
      </c>
      <c r="B111" s="395"/>
      <c r="C111" s="85" t="s">
        <v>69</v>
      </c>
      <c r="D111" s="201">
        <f>'D.A. 5'!$B$7</f>
        <v>0</v>
      </c>
      <c r="E111" s="16"/>
      <c r="F111" s="16"/>
      <c r="J111" s="58">
        <f t="shared" si="3"/>
        <v>5.6230497842098111E-2</v>
      </c>
      <c r="K111" s="58">
        <f t="shared" si="4"/>
        <v>0.55238532046987188</v>
      </c>
      <c r="L111" s="58">
        <f t="shared" si="5"/>
        <v>2.0311357824937764</v>
      </c>
      <c r="M111" s="2">
        <f t="shared" si="6"/>
        <v>45.900000000000084</v>
      </c>
      <c r="N111" s="58">
        <f t="shared" si="1"/>
        <v>11.786492374727629</v>
      </c>
    </row>
    <row r="112" spans="1:14" ht="12.75" customHeight="1" thickBot="1">
      <c r="A112" s="396"/>
      <c r="B112" s="397"/>
      <c r="C112" s="86" t="s">
        <v>8</v>
      </c>
      <c r="D112" s="202">
        <v>74</v>
      </c>
      <c r="E112" s="115"/>
      <c r="F112" s="115"/>
      <c r="J112" s="58">
        <f t="shared" si="3"/>
        <v>5.7674753783330625E-2</v>
      </c>
      <c r="K112" s="58">
        <f t="shared" si="4"/>
        <v>0.55751671244235312</v>
      </c>
      <c r="L112" s="58">
        <f t="shared" si="5"/>
        <v>2.0418871231932041</v>
      </c>
      <c r="M112" s="2">
        <f t="shared" si="6"/>
        <v>46.000000000000085</v>
      </c>
      <c r="N112" s="58">
        <f t="shared" si="1"/>
        <v>11.739130434782567</v>
      </c>
    </row>
    <row r="113" spans="1:14" ht="12.75" customHeight="1">
      <c r="A113" s="394" t="s">
        <v>13</v>
      </c>
      <c r="B113" s="395"/>
      <c r="C113" s="85" t="s">
        <v>69</v>
      </c>
      <c r="D113" s="201">
        <f>'D.A. 5'!$B$8+'D.A. 5'!B10</f>
        <v>0</v>
      </c>
      <c r="E113" s="228" t="s">
        <v>7</v>
      </c>
      <c r="F113" s="229" t="s">
        <v>9</v>
      </c>
      <c r="H113" s="81"/>
      <c r="J113" s="58">
        <f t="shared" si="3"/>
        <v>5.9135607522204543E-2</v>
      </c>
      <c r="K113" s="58">
        <f t="shared" si="4"/>
        <v>0.56266463778878628</v>
      </c>
      <c r="L113" s="58">
        <f t="shared" si="5"/>
        <v>2.0526475494185306</v>
      </c>
      <c r="M113" s="2">
        <f t="shared" si="6"/>
        <v>46.100000000000087</v>
      </c>
      <c r="N113" s="58">
        <f t="shared" si="1"/>
        <v>11.691973969631196</v>
      </c>
    </row>
    <row r="114" spans="1:14" ht="12.75" customHeight="1" thickBot="1">
      <c r="A114" s="396"/>
      <c r="B114" s="397"/>
      <c r="C114" s="86" t="s">
        <v>8</v>
      </c>
      <c r="D114" s="203">
        <v>98</v>
      </c>
      <c r="E114" s="200">
        <f>IF(C23&gt;0,(D109*D110+D111*D112+D113*D114)/C23,0)</f>
        <v>0</v>
      </c>
      <c r="F114" s="223">
        <f>IF(E114&gt;0,1000/E114-10,1000)</f>
        <v>1000</v>
      </c>
      <c r="H114" s="79"/>
      <c r="J114" s="58">
        <f t="shared" si="3"/>
        <v>6.0613008095023783E-2</v>
      </c>
      <c r="K114" s="58">
        <f t="shared" si="4"/>
        <v>0.56782903763698678</v>
      </c>
      <c r="L114" s="58">
        <f t="shared" si="5"/>
        <v>2.0634169946185783</v>
      </c>
      <c r="M114" s="2">
        <f t="shared" si="6"/>
        <v>46.200000000000088</v>
      </c>
      <c r="N114" s="58">
        <f t="shared" si="1"/>
        <v>11.645021645021604</v>
      </c>
    </row>
    <row r="115" spans="1:14">
      <c r="B115" s="3"/>
      <c r="F115" s="88"/>
      <c r="H115" s="79"/>
      <c r="J115" s="58">
        <f t="shared" si="3"/>
        <v>6.2106905166779386E-2</v>
      </c>
      <c r="K115" s="58">
        <f t="shared" si="4"/>
        <v>0.57300985370421986</v>
      </c>
      <c r="L115" s="58">
        <f t="shared" si="5"/>
        <v>2.0741953928184897</v>
      </c>
      <c r="M115" s="2">
        <f t="shared" si="6"/>
        <v>46.30000000000009</v>
      </c>
      <c r="N115" s="58">
        <f t="shared" si="1"/>
        <v>11.5982721382289</v>
      </c>
    </row>
    <row r="116" spans="1:14" ht="12.75" customHeight="1">
      <c r="A116" s="40"/>
      <c r="C116" s="144"/>
      <c r="D116" s="221" t="str">
        <f>$D$4</f>
        <v>2-year storm</v>
      </c>
      <c r="E116" s="221" t="str">
        <f>$E$4</f>
        <v>15-year storm</v>
      </c>
      <c r="F116" s="221" t="str">
        <f>$F$4</f>
        <v>100-year storm</v>
      </c>
      <c r="H116" s="79"/>
      <c r="J116" s="58">
        <f t="shared" si="3"/>
        <v>6.361724902515617E-2</v>
      </c>
      <c r="K116" s="58">
        <f t="shared" si="4"/>
        <v>0.57820702829101656</v>
      </c>
      <c r="L116" s="58">
        <f t="shared" si="5"/>
        <v>2.0849826786135144</v>
      </c>
      <c r="M116" s="2">
        <f t="shared" si="6"/>
        <v>46.400000000000091</v>
      </c>
      <c r="N116" s="58">
        <f t="shared" ref="N116:N179" si="7">IF(M116&gt;0,1000/M116-10,1000)</f>
        <v>11.551724137930993</v>
      </c>
    </row>
    <row r="117" spans="1:14" ht="12.75" customHeight="1">
      <c r="A117" s="398" t="s">
        <v>83</v>
      </c>
      <c r="B117" s="398"/>
      <c r="C117" s="399"/>
      <c r="D117" s="223">
        <f>IF(D$5&gt;0.2*($F114),(D$5-0.2*($F114))^2/(D$5+0.8*($F114)),0)</f>
        <v>0</v>
      </c>
      <c r="E117" s="223">
        <f>IF(E$5&gt;0.2*($F114),(E$5-0.2*($F114))^2/(E$5+0.8*($F114)),0)</f>
        <v>0</v>
      </c>
      <c r="F117" s="223">
        <f>IF(F$5&gt;0.2*($F114),(F$5-0.2*($F114))^2/(F$5+0.8*($F114)),0)</f>
        <v>0</v>
      </c>
      <c r="H117" s="2"/>
      <c r="J117" s="58">
        <f t="shared" si="3"/>
        <v>6.5143990574621544E-2</v>
      </c>
      <c r="K117" s="58">
        <f t="shared" si="4"/>
        <v>0.58342050427507341</v>
      </c>
      <c r="L117" s="58">
        <f t="shared" si="5"/>
        <v>2.0957787871628892</v>
      </c>
      <c r="M117" s="2">
        <f t="shared" si="6"/>
        <v>46.500000000000092</v>
      </c>
      <c r="N117" s="58">
        <f t="shared" si="7"/>
        <v>11.505376344085978</v>
      </c>
    </row>
    <row r="118" spans="1:14" ht="12.75" customHeight="1">
      <c r="A118" s="398" t="s">
        <v>84</v>
      </c>
      <c r="B118" s="398"/>
      <c r="C118" s="399"/>
      <c r="D118" s="223">
        <f>IF($C$23&gt;0,D117-$C$24*12/$C$23,D117)</f>
        <v>0</v>
      </c>
      <c r="E118" s="223">
        <f>IF($C$23&gt;0,E117-$C$24*12/$C$23,E117)</f>
        <v>0</v>
      </c>
      <c r="F118" s="223">
        <f>IF($C$23&gt;0,F117-$C$24*12/$C$23,F117)</f>
        <v>0</v>
      </c>
      <c r="H118" s="2"/>
      <c r="J118" s="58">
        <f t="shared" si="3"/>
        <v>6.6687081330592743E-2</v>
      </c>
      <c r="K118" s="58">
        <f t="shared" si="4"/>
        <v>0.58865022510522425</v>
      </c>
      <c r="L118" s="58">
        <f t="shared" si="5"/>
        <v>2.1065836541837726</v>
      </c>
      <c r="M118" s="2">
        <f t="shared" si="6"/>
        <v>46.600000000000094</v>
      </c>
      <c r="N118" s="58">
        <f t="shared" si="7"/>
        <v>11.459227467811115</v>
      </c>
    </row>
    <row r="119" spans="1:14" ht="12.75" customHeight="1">
      <c r="A119" s="220"/>
      <c r="B119" s="220"/>
      <c r="C119" s="29" t="s">
        <v>30</v>
      </c>
      <c r="D119" s="224">
        <f>IF(D118&gt;0,VLOOKUP(D118,J$52:$N$650,4),0)</f>
        <v>0</v>
      </c>
      <c r="E119" s="224">
        <f>IF(E118&gt;0,VLOOKUP(E118,K$52:$N$650,3),0)</f>
        <v>0</v>
      </c>
      <c r="F119" s="224">
        <f>IF(F118&gt;0,VLOOKUP(F118,L$52:$N$650,2),0)</f>
        <v>0</v>
      </c>
      <c r="H119" s="2"/>
      <c r="J119" s="58">
        <f t="shared" si="3"/>
        <v>6.8246473413684755E-2</v>
      </c>
      <c r="K119" s="58">
        <f t="shared" si="4"/>
        <v>0.59389613479549763</v>
      </c>
      <c r="L119" s="58">
        <f t="shared" si="5"/>
        <v>2.1173972159452807</v>
      </c>
      <c r="M119" s="2">
        <f t="shared" si="6"/>
        <v>46.700000000000095</v>
      </c>
      <c r="N119" s="58">
        <f t="shared" si="7"/>
        <v>11.413276231263339</v>
      </c>
    </row>
    <row r="120" spans="1:14" ht="12.75" customHeight="1">
      <c r="H120" s="2"/>
      <c r="J120" s="58">
        <f t="shared" si="3"/>
        <v>6.9822119544034278E-2</v>
      </c>
      <c r="K120" s="58">
        <f t="shared" si="4"/>
        <v>0.59915817791924486</v>
      </c>
      <c r="L120" s="58">
        <f t="shared" si="5"/>
        <v>2.1282194092625892</v>
      </c>
      <c r="M120" s="2">
        <f t="shared" si="6"/>
        <v>46.800000000000097</v>
      </c>
      <c r="N120" s="58">
        <f t="shared" si="7"/>
        <v>11.367521367521324</v>
      </c>
    </row>
    <row r="121" spans="1:14" ht="12.75" customHeight="1">
      <c r="A121" s="400" t="s">
        <v>214</v>
      </c>
      <c r="B121" s="401"/>
      <c r="C121" s="401"/>
      <c r="D121" s="401"/>
      <c r="E121" s="401"/>
      <c r="F121" s="402"/>
      <c r="H121" s="2"/>
      <c r="J121" s="58">
        <f t="shared" si="3"/>
        <v>7.1413973035701697E-2</v>
      </c>
      <c r="K121" s="58">
        <f t="shared" si="4"/>
        <v>0.60443629960334788</v>
      </c>
      <c r="L121" s="58">
        <f t="shared" si="5"/>
        <v>2.1390501714911072</v>
      </c>
      <c r="M121" s="2">
        <f t="shared" si="6"/>
        <v>46.900000000000098</v>
      </c>
      <c r="N121" s="58">
        <f t="shared" si="7"/>
        <v>11.32196162046904</v>
      </c>
    </row>
    <row r="122" spans="1:14" ht="12.75" customHeight="1" thickBot="1">
      <c r="A122" s="403" t="s">
        <v>28</v>
      </c>
      <c r="B122" s="404"/>
      <c r="C122" s="273"/>
      <c r="D122" s="227" t="s">
        <v>29</v>
      </c>
      <c r="E122" s="51"/>
      <c r="F122" s="51"/>
      <c r="H122" s="2"/>
      <c r="J122" s="58">
        <f t="shared" si="3"/>
        <v>7.3021987791147311E-2</v>
      </c>
      <c r="K122" s="58">
        <f t="shared" si="4"/>
        <v>0.60973044552249811</v>
      </c>
      <c r="L122" s="58">
        <f t="shared" si="5"/>
        <v>2.1498894405207336</v>
      </c>
      <c r="M122" s="2">
        <f t="shared" si="6"/>
        <v>47.000000000000099</v>
      </c>
      <c r="N122" s="58">
        <f t="shared" si="7"/>
        <v>11.276595744680805</v>
      </c>
    </row>
    <row r="123" spans="1:14" ht="12.75" customHeight="1">
      <c r="A123" s="394" t="s">
        <v>25</v>
      </c>
      <c r="B123" s="395"/>
      <c r="C123" s="85" t="s">
        <v>69</v>
      </c>
      <c r="D123" s="201">
        <f>'D.A. 6'!$B$6</f>
        <v>0</v>
      </c>
      <c r="E123" s="16"/>
      <c r="F123" s="16"/>
      <c r="H123" s="2"/>
      <c r="J123" s="58">
        <f t="shared" si="3"/>
        <v>7.4646118295781841E-2</v>
      </c>
      <c r="K123" s="58">
        <f t="shared" si="4"/>
        <v>0.6150405618935485</v>
      </c>
      <c r="L123" s="58">
        <f t="shared" si="5"/>
        <v>2.1607371547701777</v>
      </c>
      <c r="M123" s="2">
        <f t="shared" si="6"/>
        <v>47.100000000000101</v>
      </c>
      <c r="N123" s="58">
        <f t="shared" si="7"/>
        <v>11.231422505307812</v>
      </c>
    </row>
    <row r="124" spans="1:14" ht="20.25" customHeight="1" thickBot="1">
      <c r="A124" s="396"/>
      <c r="B124" s="397"/>
      <c r="C124" s="86" t="s">
        <v>8</v>
      </c>
      <c r="D124" s="202">
        <v>70</v>
      </c>
      <c r="E124" s="115"/>
      <c r="F124" s="115"/>
      <c r="H124" s="2"/>
      <c r="J124" s="58">
        <f t="shared" ref="J124:J187" si="8">IF(D$5&gt;0.2*($N124),(D$5-0.2*($N124))^2/(D$5+0.8*($N124)),0)</f>
        <v>7.6286319612592579E-2</v>
      </c>
      <c r="K124" s="58">
        <f t="shared" ref="K124:K187" si="9">IF(E$5&gt;0.2*($N124),(E$5-0.2*($N124))^2/(E$5+0.8*($N124)),0)</f>
        <v>0.62036659546994477</v>
      </c>
      <c r="L124" s="58">
        <f t="shared" ref="L124:L187" si="10">IF(F$5&gt;0.2*($N124),(F$5-0.2*($N124))^2/(F$5+0.8*($N124)),0)</f>
        <v>2.1715932531813671</v>
      </c>
      <c r="M124" s="2">
        <f t="shared" ref="M124:M187" si="11">M123+0.1</f>
        <v>47.200000000000102</v>
      </c>
      <c r="N124" s="58">
        <f t="shared" si="7"/>
        <v>11.186440677966054</v>
      </c>
    </row>
    <row r="125" spans="1:14" ht="12.75" customHeight="1">
      <c r="A125" s="394" t="s">
        <v>32</v>
      </c>
      <c r="B125" s="395"/>
      <c r="C125" s="85" t="s">
        <v>69</v>
      </c>
      <c r="D125" s="201">
        <f>'D.A. 6'!$B$7</f>
        <v>0</v>
      </c>
      <c r="E125" s="16"/>
      <c r="F125" s="16"/>
      <c r="H125" s="7"/>
      <c r="J125" s="58">
        <f t="shared" si="8"/>
        <v>7.7942547376837271E-2</v>
      </c>
      <c r="K125" s="58">
        <f t="shared" si="9"/>
        <v>0.6257084935362146</v>
      </c>
      <c r="L125" s="58">
        <f t="shared" si="10"/>
        <v>2.1824576752139024</v>
      </c>
      <c r="M125" s="2">
        <f t="shared" si="11"/>
        <v>47.300000000000104</v>
      </c>
      <c r="N125" s="58">
        <f t="shared" si="7"/>
        <v>11.141649048625748</v>
      </c>
    </row>
    <row r="126" spans="1:14" ht="12.75" customHeight="1" thickBot="1">
      <c r="A126" s="396"/>
      <c r="B126" s="397"/>
      <c r="C126" s="86" t="s">
        <v>8</v>
      </c>
      <c r="D126" s="202">
        <v>74</v>
      </c>
      <c r="E126" s="115"/>
      <c r="F126" s="115"/>
      <c r="H126" s="7"/>
      <c r="J126" s="58">
        <f t="shared" si="8"/>
        <v>7.9614757790814367E-2</v>
      </c>
      <c r="K126" s="58">
        <f t="shared" si="9"/>
        <v>0.63106620390254187</v>
      </c>
      <c r="L126" s="58">
        <f t="shared" si="10"/>
        <v>2.1933303608396102</v>
      </c>
      <c r="M126" s="2">
        <f t="shared" si="11"/>
        <v>47.400000000000105</v>
      </c>
      <c r="N126" s="58">
        <f t="shared" si="7"/>
        <v>11.097046413502063</v>
      </c>
    </row>
    <row r="127" spans="1:14" ht="16.5" customHeight="1">
      <c r="A127" s="394" t="s">
        <v>13</v>
      </c>
      <c r="B127" s="395"/>
      <c r="C127" s="85" t="s">
        <v>69</v>
      </c>
      <c r="D127" s="201">
        <f>'D.A. 6'!$B$8+'D.A. 6'!B10</f>
        <v>0</v>
      </c>
      <c r="E127" s="228" t="s">
        <v>7</v>
      </c>
      <c r="F127" s="229" t="s">
        <v>9</v>
      </c>
      <c r="H127" s="7"/>
      <c r="J127" s="58">
        <f t="shared" si="8"/>
        <v>8.1302907618698947E-2</v>
      </c>
      <c r="K127" s="58">
        <f t="shared" si="9"/>
        <v>0.63643967489939823</v>
      </c>
      <c r="L127" s="58">
        <f t="shared" si="10"/>
        <v>2.2042112505371425</v>
      </c>
      <c r="M127" s="2">
        <f t="shared" si="11"/>
        <v>47.500000000000107</v>
      </c>
      <c r="N127" s="58">
        <f t="shared" si="7"/>
        <v>11.05263157894732</v>
      </c>
    </row>
    <row r="128" spans="1:14" ht="17.25" customHeight="1" thickBot="1">
      <c r="A128" s="396"/>
      <c r="B128" s="397"/>
      <c r="C128" s="86" t="s">
        <v>8</v>
      </c>
      <c r="D128" s="203">
        <v>98</v>
      </c>
      <c r="E128" s="200">
        <f>IF(C27&gt;0,(D123*D124+D125*D126+D127*D128)/C27,0)</f>
        <v>0</v>
      </c>
      <c r="F128" s="223">
        <f>IF(E128&gt;0,1000/E128-10,1000)</f>
        <v>1000</v>
      </c>
      <c r="H128" s="7"/>
      <c r="J128" s="58">
        <f t="shared" si="8"/>
        <v>8.3006954181450418E-2</v>
      </c>
      <c r="K128" s="58">
        <f t="shared" si="9"/>
        <v>0.6418288553722481</v>
      </c>
      <c r="L128" s="58">
        <f t="shared" si="10"/>
        <v>2.2151002852866526</v>
      </c>
      <c r="M128" s="2">
        <f t="shared" si="11"/>
        <v>47.600000000000108</v>
      </c>
      <c r="N128" s="58">
        <f t="shared" si="7"/>
        <v>11.008403361344492</v>
      </c>
    </row>
    <row r="129" spans="1:14" ht="12.75" customHeight="1">
      <c r="B129" s="3"/>
      <c r="F129" s="88"/>
      <c r="H129" s="7"/>
      <c r="J129" s="58">
        <f t="shared" si="8"/>
        <v>8.4726855351787866E-2</v>
      </c>
      <c r="K129" s="58">
        <f t="shared" si="9"/>
        <v>0.64723369467632175</v>
      </c>
      <c r="L129" s="58">
        <f t="shared" si="10"/>
        <v>2.2259974065645443</v>
      </c>
      <c r="M129" s="2">
        <f t="shared" si="11"/>
        <v>47.700000000000109</v>
      </c>
      <c r="N129" s="58">
        <f t="shared" si="7"/>
        <v>10.964360587002048</v>
      </c>
    </row>
    <row r="130" spans="1:14">
      <c r="A130" s="40"/>
      <c r="C130" s="144"/>
      <c r="D130" s="272" t="str">
        <f>$D$4</f>
        <v>2-year storm</v>
      </c>
      <c r="E130" s="272" t="str">
        <f>$E$4</f>
        <v>15-year storm</v>
      </c>
      <c r="F130" s="272" t="str">
        <f>$F$4</f>
        <v>100-year storm</v>
      </c>
      <c r="H130" s="7"/>
      <c r="J130" s="58">
        <f t="shared" si="8"/>
        <v>8.6462569549231399E-2</v>
      </c>
      <c r="K130" s="58">
        <f t="shared" si="9"/>
        <v>0.65265414267144872</v>
      </c>
      <c r="L130" s="58">
        <f t="shared" si="10"/>
        <v>2.2369025563382734</v>
      </c>
      <c r="M130" s="2">
        <f t="shared" si="11"/>
        <v>47.800000000000111</v>
      </c>
      <c r="N130" s="58">
        <f t="shared" si="7"/>
        <v>10.92050209205016</v>
      </c>
    </row>
    <row r="131" spans="1:14" ht="14.25">
      <c r="A131" s="398" t="s">
        <v>83</v>
      </c>
      <c r="B131" s="398"/>
      <c r="C131" s="399"/>
      <c r="D131" s="223">
        <f>IF(D$5&gt;0.2*($F128),(D$5-0.2*($F128))^2/(D$5+0.8*($F128)),0)</f>
        <v>0</v>
      </c>
      <c r="E131" s="223">
        <f>IF(E$5&gt;0.2*($F128),(E$5-0.2*($F128))^2/(E$5+0.8*($F128)),0)</f>
        <v>0</v>
      </c>
      <c r="F131" s="223">
        <f>IF(F$5&gt;0.2*($F128),(F$5-0.2*($F128))^2/(F$5+0.8*($F128)),0)</f>
        <v>0</v>
      </c>
      <c r="H131" s="7"/>
      <c r="J131" s="58">
        <f t="shared" si="8"/>
        <v>8.8214055735211419E-2</v>
      </c>
      <c r="K131" s="58">
        <f t="shared" si="9"/>
        <v>0.65809014971696456</v>
      </c>
      <c r="L131" s="58">
        <f t="shared" si="10"/>
        <v>2.2478156770612276</v>
      </c>
      <c r="M131" s="2">
        <f t="shared" si="11"/>
        <v>47.900000000000112</v>
      </c>
      <c r="N131" s="58">
        <f t="shared" si="7"/>
        <v>10.876826722338155</v>
      </c>
    </row>
    <row r="132" spans="1:14" ht="14.25">
      <c r="A132" s="398" t="s">
        <v>84</v>
      </c>
      <c r="B132" s="398"/>
      <c r="C132" s="399"/>
      <c r="D132" s="223">
        <f>IF($C$27&gt;0,D131-$C$28*12/$C$27,D131)</f>
        <v>0</v>
      </c>
      <c r="E132" s="223">
        <f t="shared" ref="E132:F132" si="12">IF($C$27&gt;0,E131-$C$28*12/$C$27,E131)</f>
        <v>0</v>
      </c>
      <c r="F132" s="223">
        <f t="shared" si="12"/>
        <v>0</v>
      </c>
      <c r="H132" s="7"/>
      <c r="J132" s="58">
        <f t="shared" si="8"/>
        <v>8.9981273408241746E-2</v>
      </c>
      <c r="K132" s="58">
        <f t="shared" si="9"/>
        <v>0.66354166666667291</v>
      </c>
      <c r="L132" s="58">
        <f t="shared" si="10"/>
        <v>2.2587367116676567</v>
      </c>
      <c r="M132" s="2">
        <f t="shared" si="11"/>
        <v>48.000000000000114</v>
      </c>
      <c r="N132" s="58">
        <f t="shared" si="7"/>
        <v>10.833333333333282</v>
      </c>
    </row>
    <row r="133" spans="1:14" ht="12.75" customHeight="1">
      <c r="A133" s="274"/>
      <c r="B133" s="274"/>
      <c r="C133" s="29" t="s">
        <v>30</v>
      </c>
      <c r="D133" s="224">
        <f>IF(D132&gt;0,VLOOKUP(D132,J$52:$N$650,4),0)</f>
        <v>0</v>
      </c>
      <c r="E133" s="224">
        <f>IF(E132&gt;0,VLOOKUP(E132,K$52:$N$650,3),0)</f>
        <v>0</v>
      </c>
      <c r="F133" s="224">
        <f>IF(F132&gt;0,VLOOKUP(F132,L$52:$N$650,2),0)</f>
        <v>0</v>
      </c>
      <c r="H133" s="7"/>
      <c r="J133" s="58">
        <f t="shared" si="8"/>
        <v>9.1764182599157987E-2</v>
      </c>
      <c r="K133" s="58">
        <f t="shared" si="9"/>
        <v>0.66900864486387879</v>
      </c>
      <c r="L133" s="58">
        <f t="shared" si="10"/>
        <v>2.2696656035676837</v>
      </c>
      <c r="M133" s="2">
        <f t="shared" si="11"/>
        <v>48.100000000000115</v>
      </c>
      <c r="N133" s="58">
        <f t="shared" si="7"/>
        <v>10.790020790020741</v>
      </c>
    </row>
    <row r="134" spans="1:14" ht="12.75" customHeight="1">
      <c r="H134" s="7"/>
      <c r="J134" s="58">
        <f t="shared" si="8"/>
        <v>9.3562743866418746E-2</v>
      </c>
      <c r="K134" s="58">
        <f t="shared" si="9"/>
        <v>0.67449103613647809</v>
      </c>
      <c r="L134" s="58">
        <f t="shared" si="10"/>
        <v>2.2806022966423609</v>
      </c>
      <c r="M134" s="2">
        <f t="shared" si="11"/>
        <v>48.200000000000117</v>
      </c>
      <c r="N134" s="58">
        <f t="shared" si="7"/>
        <v>10.74688796680493</v>
      </c>
    </row>
    <row r="135" spans="1:14" s="80" customFormat="1" ht="17.25" customHeight="1">
      <c r="A135" s="400" t="s">
        <v>213</v>
      </c>
      <c r="B135" s="401"/>
      <c r="C135" s="401"/>
      <c r="D135" s="401"/>
      <c r="E135" s="401"/>
      <c r="F135" s="402"/>
      <c r="G135" s="2"/>
      <c r="H135" s="7"/>
      <c r="J135" s="58">
        <f t="shared" si="8"/>
        <v>9.5376918291469853E-2</v>
      </c>
      <c r="K135" s="58">
        <f t="shared" si="9"/>
        <v>0.67998879279211222</v>
      </c>
      <c r="L135" s="58">
        <f t="shared" si="10"/>
        <v>2.2915467352387968</v>
      </c>
      <c r="M135" s="2">
        <f t="shared" si="11"/>
        <v>48.300000000000118</v>
      </c>
      <c r="N135" s="58">
        <f t="shared" si="7"/>
        <v>10.703933747411959</v>
      </c>
    </row>
    <row r="136" spans="1:14" s="7" customFormat="1" ht="13.5" thickBot="1">
      <c r="A136" s="403" t="s">
        <v>28</v>
      </c>
      <c r="B136" s="404"/>
      <c r="C136" s="273"/>
      <c r="D136" s="227" t="s">
        <v>29</v>
      </c>
      <c r="E136" s="51"/>
      <c r="F136" s="51"/>
      <c r="G136" s="2"/>
      <c r="I136" s="2"/>
      <c r="J136" s="58">
        <f t="shared" si="8"/>
        <v>9.7206667474169964E-2</v>
      </c>
      <c r="K136" s="58">
        <f t="shared" si="9"/>
        <v>0.68550186761338183</v>
      </c>
      <c r="L136" s="58">
        <f t="shared" si="10"/>
        <v>2.302498864165341</v>
      </c>
      <c r="M136" s="2">
        <f t="shared" si="11"/>
        <v>48.400000000000119</v>
      </c>
      <c r="N136" s="58">
        <f t="shared" si="7"/>
        <v>10.661157024793336</v>
      </c>
    </row>
    <row r="137" spans="1:14" s="7" customFormat="1">
      <c r="A137" s="394" t="s">
        <v>25</v>
      </c>
      <c r="B137" s="395"/>
      <c r="C137" s="85" t="s">
        <v>69</v>
      </c>
      <c r="D137" s="201">
        <f>'D.A. 7'!$B$6</f>
        <v>0</v>
      </c>
      <c r="E137" s="16"/>
      <c r="F137" s="16"/>
      <c r="G137" s="2"/>
      <c r="I137" s="2"/>
      <c r="J137" s="58">
        <f t="shared" si="8"/>
        <v>9.9051953528276435E-2</v>
      </c>
      <c r="K137" s="58">
        <f t="shared" si="9"/>
        <v>0.69103021385311891</v>
      </c>
      <c r="L137" s="58">
        <f t="shared" si="10"/>
        <v>2.3134586286868277</v>
      </c>
      <c r="M137" s="2">
        <f t="shared" si="11"/>
        <v>48.500000000000121</v>
      </c>
      <c r="N137" s="58">
        <f t="shared" si="7"/>
        <v>10.618556701030876</v>
      </c>
    </row>
    <row r="138" spans="1:14" s="7" customFormat="1" ht="13.5" thickBot="1">
      <c r="A138" s="396"/>
      <c r="B138" s="397"/>
      <c r="C138" s="86" t="s">
        <v>8</v>
      </c>
      <c r="D138" s="202">
        <v>70</v>
      </c>
      <c r="E138" s="115"/>
      <c r="F138" s="115"/>
      <c r="G138" s="2"/>
      <c r="I138" s="2"/>
      <c r="J138" s="58">
        <f t="shared" si="8"/>
        <v>0.10091273907699258</v>
      </c>
      <c r="K138" s="58">
        <f t="shared" si="9"/>
        <v>0.69657378522972102</v>
      </c>
      <c r="L138" s="58">
        <f t="shared" si="10"/>
        <v>2.3244259745198828</v>
      </c>
      <c r="M138" s="2">
        <f t="shared" si="11"/>
        <v>48.600000000000122</v>
      </c>
      <c r="N138" s="58">
        <f t="shared" si="7"/>
        <v>10.576131687242746</v>
      </c>
    </row>
    <row r="139" spans="1:14" s="7" customFormat="1">
      <c r="A139" s="394" t="s">
        <v>32</v>
      </c>
      <c r="B139" s="395"/>
      <c r="C139" s="85" t="s">
        <v>69</v>
      </c>
      <c r="D139" s="201">
        <f>'D.A. 7'!$B$7</f>
        <v>0</v>
      </c>
      <c r="E139" s="16"/>
      <c r="F139" s="16"/>
      <c r="G139" s="2"/>
      <c r="I139" s="2"/>
      <c r="J139" s="58">
        <f t="shared" si="8"/>
        <v>0.10278898724857252</v>
      </c>
      <c r="K139" s="58">
        <f t="shared" si="9"/>
        <v>0.70213253592254066</v>
      </c>
      <c r="L139" s="58">
        <f t="shared" si="10"/>
        <v>2.3354008478282786</v>
      </c>
      <c r="M139" s="2">
        <f t="shared" si="11"/>
        <v>48.700000000000124</v>
      </c>
      <c r="N139" s="58">
        <f t="shared" si="7"/>
        <v>10.533880903490708</v>
      </c>
    </row>
    <row r="140" spans="1:14" s="7" customFormat="1" ht="12.75" customHeight="1" thickBot="1">
      <c r="A140" s="396"/>
      <c r="B140" s="397"/>
      <c r="C140" s="86" t="s">
        <v>8</v>
      </c>
      <c r="D140" s="202">
        <v>74</v>
      </c>
      <c r="E140" s="115"/>
      <c r="F140" s="115"/>
      <c r="G140" s="2"/>
      <c r="I140" s="2"/>
      <c r="J140" s="58">
        <f t="shared" si="8"/>
        <v>0.1046806616719852</v>
      </c>
      <c r="K140" s="58">
        <f t="shared" si="9"/>
        <v>0.70770642056733246</v>
      </c>
      <c r="L140" s="58">
        <f t="shared" si="10"/>
        <v>2.3463831952183609</v>
      </c>
      <c r="M140" s="2">
        <f t="shared" si="11"/>
        <v>48.800000000000125</v>
      </c>
      <c r="N140" s="58">
        <f t="shared" si="7"/>
        <v>10.491803278688472</v>
      </c>
    </row>
    <row r="141" spans="1:14" s="7" customFormat="1">
      <c r="A141" s="394" t="s">
        <v>13</v>
      </c>
      <c r="B141" s="395"/>
      <c r="C141" s="85" t="s">
        <v>69</v>
      </c>
      <c r="D141" s="201">
        <f>'D.A. 7'!$B$8+'D.A. 7'!B10</f>
        <v>0</v>
      </c>
      <c r="E141" s="228" t="s">
        <v>7</v>
      </c>
      <c r="F141" s="229" t="s">
        <v>9</v>
      </c>
      <c r="G141" s="2"/>
      <c r="I141" s="2"/>
      <c r="J141" s="58">
        <f t="shared" si="8"/>
        <v>0.10658772647263531</v>
      </c>
      <c r="K141" s="58">
        <f t="shared" si="9"/>
        <v>0.71329539425175648</v>
      </c>
      <c r="L141" s="58">
        <f t="shared" si="10"/>
        <v>2.3573729637345155</v>
      </c>
      <c r="M141" s="2">
        <f t="shared" si="11"/>
        <v>48.900000000000126</v>
      </c>
      <c r="N141" s="58">
        <f t="shared" si="7"/>
        <v>10.449897750511195</v>
      </c>
    </row>
    <row r="142" spans="1:14" s="7" customFormat="1" ht="12.75" customHeight="1" thickBot="1">
      <c r="A142" s="396"/>
      <c r="B142" s="397"/>
      <c r="C142" s="86" t="s">
        <v>8</v>
      </c>
      <c r="D142" s="203">
        <v>98</v>
      </c>
      <c r="E142" s="200">
        <f>IF(C31&gt;0,(D137*D138+D139*D140+D141*D142)/C31,0)</f>
        <v>0</v>
      </c>
      <c r="F142" s="223">
        <f>IF(E142&gt;0,1000/E142-10,1000)</f>
        <v>1000</v>
      </c>
      <c r="G142" s="2"/>
      <c r="I142" s="2"/>
      <c r="J142" s="58">
        <f t="shared" si="8"/>
        <v>0.10851014626814147</v>
      </c>
      <c r="K142" s="58">
        <f t="shared" si="9"/>
        <v>0.71889941251093803</v>
      </c>
      <c r="L142" s="58">
        <f t="shared" si="10"/>
        <v>2.3683701008547002</v>
      </c>
      <c r="M142" s="2">
        <f t="shared" si="11"/>
        <v>49.000000000000128</v>
      </c>
      <c r="N142" s="58">
        <f t="shared" si="7"/>
        <v>10.408163265306069</v>
      </c>
    </row>
    <row r="143" spans="1:14" s="7" customFormat="1">
      <c r="A143" s="2"/>
      <c r="B143" s="3"/>
      <c r="C143" s="88"/>
      <c r="D143" s="226"/>
      <c r="E143" s="88"/>
      <c r="F143" s="88"/>
      <c r="G143" s="2"/>
      <c r="I143" s="2"/>
      <c r="J143" s="58">
        <f t="shared" si="8"/>
        <v>0.11044788616416995</v>
      </c>
      <c r="K143" s="58">
        <f t="shared" si="9"/>
        <v>0.72451843132308136</v>
      </c>
      <c r="L143" s="58">
        <f t="shared" si="10"/>
        <v>2.379374554486033</v>
      </c>
      <c r="M143" s="2">
        <f t="shared" si="11"/>
        <v>49.100000000000129</v>
      </c>
      <c r="N143" s="58">
        <f t="shared" si="7"/>
        <v>10.366598778004018</v>
      </c>
    </row>
    <row r="144" spans="1:14" s="7" customFormat="1">
      <c r="A144" s="40"/>
      <c r="B144" s="2"/>
      <c r="C144" s="144"/>
      <c r="D144" s="272" t="str">
        <f>$D$4</f>
        <v>2-year storm</v>
      </c>
      <c r="E144" s="272" t="str">
        <f>$E$4</f>
        <v>15-year storm</v>
      </c>
      <c r="F144" s="272" t="str">
        <f>$F$4</f>
        <v>100-year storm</v>
      </c>
      <c r="G144" s="2"/>
      <c r="I144" s="2"/>
      <c r="J144" s="58">
        <f t="shared" si="8"/>
        <v>0.11240091175032325</v>
      </c>
      <c r="K144" s="58">
        <f t="shared" si="9"/>
        <v>0.73015240710513662</v>
      </c>
      <c r="L144" s="58">
        <f t="shared" si="10"/>
        <v>2.3903862729604257</v>
      </c>
      <c r="M144" s="2">
        <f t="shared" si="11"/>
        <v>49.200000000000131</v>
      </c>
      <c r="N144" s="58">
        <f t="shared" si="7"/>
        <v>10.325203252032466</v>
      </c>
    </row>
    <row r="145" spans="1:14" s="7" customFormat="1" ht="14.25">
      <c r="A145" s="398" t="s">
        <v>83</v>
      </c>
      <c r="B145" s="398"/>
      <c r="C145" s="399"/>
      <c r="D145" s="223">
        <f>IF(D$5&gt;0.2*($F142),(D$5-0.2*($F142))^2/(D$5+0.8*($F142)),0)</f>
        <v>0</v>
      </c>
      <c r="E145" s="223">
        <f>IF(E$5&gt;0.2*($F142),(E$5-0.2*($F142))^2/(E$5+0.8*($F142)),0)</f>
        <v>0</v>
      </c>
      <c r="F145" s="223">
        <f>IF(F$5&gt;0.2*($F142),(F$5-0.2*($F142))^2/(F$5+0.8*($F142)),0)</f>
        <v>0</v>
      </c>
      <c r="G145" s="2"/>
      <c r="I145" s="2"/>
      <c r="J145" s="58">
        <f t="shared" si="8"/>
        <v>0.11436918909608394</v>
      </c>
      <c r="K145" s="58">
        <f t="shared" si="9"/>
        <v>0.73580129670852223</v>
      </c>
      <c r="L145" s="58">
        <f t="shared" si="10"/>
        <v>2.4014052050302781</v>
      </c>
      <c r="M145" s="2">
        <f t="shared" si="11"/>
        <v>49.300000000000132</v>
      </c>
      <c r="N145" s="58">
        <f t="shared" si="7"/>
        <v>10.283975659229153</v>
      </c>
    </row>
    <row r="146" spans="1:14" s="7" customFormat="1" ht="14.25">
      <c r="A146" s="398" t="s">
        <v>84</v>
      </c>
      <c r="B146" s="398"/>
      <c r="C146" s="399"/>
      <c r="D146" s="223">
        <f>IF($C$31&gt;0,D145-$C$32*12/$C$31,D145)</f>
        <v>0</v>
      </c>
      <c r="E146" s="223">
        <f t="shared" ref="E146:F146" si="13">IF($C$31&gt;0,E145-$C$32*12/$C$31,E145)</f>
        <v>0</v>
      </c>
      <c r="F146" s="223">
        <f t="shared" si="13"/>
        <v>0</v>
      </c>
      <c r="G146" s="2"/>
      <c r="I146" s="2"/>
      <c r="J146" s="58">
        <f t="shared" si="8"/>
        <v>0.11635268474681082</v>
      </c>
      <c r="K146" s="58">
        <f t="shared" si="9"/>
        <v>0.74146505741489599</v>
      </c>
      <c r="L146" s="58">
        <f t="shared" si="10"/>
        <v>2.4124312998642212</v>
      </c>
      <c r="M146" s="2">
        <f t="shared" si="11"/>
        <v>49.400000000000134</v>
      </c>
      <c r="N146" s="58">
        <f t="shared" si="7"/>
        <v>10.242914979757032</v>
      </c>
    </row>
    <row r="147" spans="1:14" s="7" customFormat="1">
      <c r="A147" s="274"/>
      <c r="B147" s="274"/>
      <c r="C147" s="29" t="s">
        <v>30</v>
      </c>
      <c r="D147" s="224">
        <f>IF(D146&gt;0,VLOOKUP(D146,J$52:$N$650,4),0)</f>
        <v>0</v>
      </c>
      <c r="E147" s="224">
        <f>IF(E146&gt;0,VLOOKUP(E146,K$52:$N$650,3),0)</f>
        <v>0</v>
      </c>
      <c r="F147" s="224">
        <f>IF(F146&gt;0,VLOOKUP(F146,L$52:$N$650,2),0)</f>
        <v>0</v>
      </c>
      <c r="G147" s="2"/>
      <c r="J147" s="58">
        <f t="shared" si="8"/>
        <v>0.11835136571978946</v>
      </c>
      <c r="K147" s="58">
        <f t="shared" si="9"/>
        <v>0.74714364693198232</v>
      </c>
      <c r="L147" s="58">
        <f t="shared" si="10"/>
        <v>2.4234645070429113</v>
      </c>
      <c r="M147" s="2">
        <f t="shared" si="11"/>
        <v>49.500000000000135</v>
      </c>
      <c r="N147" s="58">
        <f t="shared" si="7"/>
        <v>10.202020202020147</v>
      </c>
    </row>
    <row r="148" spans="1:14" s="7" customFormat="1">
      <c r="A148" s="2"/>
      <c r="B148" s="2"/>
      <c r="C148" s="88"/>
      <c r="D148" s="226"/>
      <c r="E148" s="88"/>
      <c r="F148" s="226"/>
      <c r="G148" s="2"/>
      <c r="J148" s="58">
        <f t="shared" si="8"/>
        <v>0.12036519950033336</v>
      </c>
      <c r="K148" s="58">
        <f t="shared" si="9"/>
        <v>0.75283702338944647</v>
      </c>
      <c r="L148" s="58">
        <f t="shared" si="10"/>
        <v>2.4345047765548773</v>
      </c>
      <c r="M148" s="2">
        <f t="shared" si="11"/>
        <v>49.600000000000136</v>
      </c>
      <c r="N148" s="58">
        <f t="shared" si="7"/>
        <v>10.161290322580591</v>
      </c>
    </row>
    <row r="149" spans="1:14" s="7" customFormat="1">
      <c r="A149" s="400" t="s">
        <v>212</v>
      </c>
      <c r="B149" s="401"/>
      <c r="C149" s="401"/>
      <c r="D149" s="401"/>
      <c r="E149" s="401"/>
      <c r="F149" s="402"/>
      <c r="G149" s="2"/>
      <c r="J149" s="58">
        <f t="shared" si="8"/>
        <v>0.12239415403793802</v>
      </c>
      <c r="K149" s="58">
        <f t="shared" si="9"/>
        <v>0.75854514533482165</v>
      </c>
      <c r="L149" s="58">
        <f t="shared" si="10"/>
        <v>2.4455520587924209</v>
      </c>
      <c r="M149" s="2">
        <f t="shared" si="11"/>
        <v>49.700000000000138</v>
      </c>
      <c r="N149" s="58">
        <f t="shared" si="7"/>
        <v>10.120724346076404</v>
      </c>
    </row>
    <row r="150" spans="1:14" s="7" customFormat="1" ht="13.5" thickBot="1">
      <c r="A150" s="403" t="s">
        <v>28</v>
      </c>
      <c r="B150" s="404"/>
      <c r="C150" s="273"/>
      <c r="D150" s="227" t="s">
        <v>29</v>
      </c>
      <c r="E150" s="51"/>
      <c r="F150" s="51"/>
      <c r="G150" s="2"/>
      <c r="J150" s="58">
        <f t="shared" si="8"/>
        <v>0.12443819774248441</v>
      </c>
      <c r="K150" s="58">
        <f t="shared" si="9"/>
        <v>0.76426797172948346</v>
      </c>
      <c r="L150" s="58">
        <f t="shared" si="10"/>
        <v>2.4566063045475515</v>
      </c>
      <c r="M150" s="2">
        <f t="shared" si="11"/>
        <v>49.800000000000139</v>
      </c>
      <c r="N150" s="58">
        <f t="shared" si="7"/>
        <v>10.080321285140506</v>
      </c>
    </row>
    <row r="151" spans="1:14" s="7" customFormat="1">
      <c r="A151" s="394" t="s">
        <v>25</v>
      </c>
      <c r="B151" s="395"/>
      <c r="C151" s="85" t="s">
        <v>69</v>
      </c>
      <c r="D151" s="201">
        <f>'D.A. 8'!$B$6</f>
        <v>0</v>
      </c>
      <c r="E151" s="16"/>
      <c r="F151" s="16"/>
      <c r="G151" s="2"/>
      <c r="J151" s="58">
        <f t="shared" si="8"/>
        <v>0.12649729948049399</v>
      </c>
      <c r="K151" s="58">
        <f t="shared" si="9"/>
        <v>0.77000546194467645</v>
      </c>
      <c r="L151" s="58">
        <f t="shared" si="10"/>
        <v>2.4676674650079935</v>
      </c>
      <c r="M151" s="2">
        <f t="shared" si="11"/>
        <v>49.900000000000141</v>
      </c>
      <c r="N151" s="58">
        <f t="shared" si="7"/>
        <v>10.040080160320585</v>
      </c>
    </row>
    <row r="152" spans="1:14" s="7" customFormat="1" ht="12.75" customHeight="1" thickBot="1">
      <c r="A152" s="396"/>
      <c r="B152" s="397"/>
      <c r="C152" s="86" t="s">
        <v>8</v>
      </c>
      <c r="D152" s="202">
        <v>70</v>
      </c>
      <c r="E152" s="115"/>
      <c r="F152" s="115"/>
      <c r="G152" s="2"/>
      <c r="J152" s="58">
        <f t="shared" si="8"/>
        <v>0.12857142857143156</v>
      </c>
      <c r="K152" s="58">
        <f t="shared" si="9"/>
        <v>0.77575757575758408</v>
      </c>
      <c r="L152" s="58">
        <f t="shared" si="10"/>
        <v>2.4787354917532225</v>
      </c>
      <c r="M152" s="2">
        <f t="shared" si="11"/>
        <v>50.000000000000142</v>
      </c>
      <c r="N152" s="58">
        <f t="shared" si="7"/>
        <v>9.9999999999999432</v>
      </c>
    </row>
    <row r="153" spans="1:14" s="7" customFormat="1">
      <c r="A153" s="394" t="s">
        <v>32</v>
      </c>
      <c r="B153" s="395"/>
      <c r="C153" s="85" t="s">
        <v>69</v>
      </c>
      <c r="D153" s="201">
        <f>'D.A. 8'!$B$7</f>
        <v>0</v>
      </c>
      <c r="E153" s="16"/>
      <c r="F153" s="16"/>
      <c r="G153" s="2"/>
      <c r="J153" s="58">
        <f t="shared" si="8"/>
        <v>0.13066055478405814</v>
      </c>
      <c r="K153" s="58">
        <f t="shared" si="9"/>
        <v>0.78152427334745067</v>
      </c>
      <c r="L153" s="58">
        <f t="shared" si="10"/>
        <v>2.4898103367505531</v>
      </c>
      <c r="M153" s="2">
        <f t="shared" si="11"/>
        <v>50.100000000000144</v>
      </c>
      <c r="N153" s="58">
        <f t="shared" si="7"/>
        <v>9.9600798403193025</v>
      </c>
    </row>
    <row r="154" spans="1:14" s="7" customFormat="1" ht="12.75" customHeight="1" thickBot="1">
      <c r="A154" s="396"/>
      <c r="B154" s="397"/>
      <c r="C154" s="86" t="s">
        <v>8</v>
      </c>
      <c r="D154" s="202">
        <v>74</v>
      </c>
      <c r="E154" s="115"/>
      <c r="F154" s="115"/>
      <c r="G154" s="2"/>
      <c r="J154" s="58">
        <f t="shared" si="8"/>
        <v>0.13276464833283086</v>
      </c>
      <c r="K154" s="58">
        <f t="shared" si="9"/>
        <v>0.78730551529174697</v>
      </c>
      <c r="L154" s="58">
        <f t="shared" si="10"/>
        <v>2.5008919523512803</v>
      </c>
      <c r="M154" s="2">
        <f t="shared" si="11"/>
        <v>50.200000000000145</v>
      </c>
      <c r="N154" s="58">
        <f t="shared" si="7"/>
        <v>9.9203187250995448</v>
      </c>
    </row>
    <row r="155" spans="1:14" s="7" customFormat="1">
      <c r="A155" s="394" t="s">
        <v>13</v>
      </c>
      <c r="B155" s="395"/>
      <c r="C155" s="85" t="s">
        <v>69</v>
      </c>
      <c r="D155" s="201">
        <f>'D.A. 8'!$B$8+'D.A. 8'!B10</f>
        <v>0</v>
      </c>
      <c r="E155" s="228" t="s">
        <v>7</v>
      </c>
      <c r="F155" s="229" t="s">
        <v>9</v>
      </c>
      <c r="G155" s="2"/>
      <c r="J155" s="58">
        <f t="shared" si="8"/>
        <v>0.13488367987435199</v>
      </c>
      <c r="K155" s="58">
        <f t="shared" si="9"/>
        <v>0.79310126256238533</v>
      </c>
      <c r="L155" s="58">
        <f t="shared" si="10"/>
        <v>2.5119802912868621</v>
      </c>
      <c r="M155" s="2">
        <f t="shared" si="11"/>
        <v>50.300000000000146</v>
      </c>
      <c r="N155" s="58">
        <f t="shared" si="7"/>
        <v>9.8807157057653505</v>
      </c>
    </row>
    <row r="156" spans="1:14" s="7" customFormat="1" ht="13.5" thickBot="1">
      <c r="A156" s="396"/>
      <c r="B156" s="397"/>
      <c r="C156" s="86" t="s">
        <v>8</v>
      </c>
      <c r="D156" s="203">
        <v>98</v>
      </c>
      <c r="E156" s="200">
        <f>IF(C35&gt;0,(D151*D152+D153*D154+D155*D156)/C35,0)</f>
        <v>0</v>
      </c>
      <c r="F156" s="223">
        <f>IF(E156&gt;0,1000/E156-10,1000)</f>
        <v>1000</v>
      </c>
      <c r="G156" s="2"/>
      <c r="J156" s="58">
        <f t="shared" si="8"/>
        <v>0.13701762050386229</v>
      </c>
      <c r="K156" s="58">
        <f t="shared" si="9"/>
        <v>0.79891147652197581</v>
      </c>
      <c r="L156" s="58">
        <f t="shared" si="10"/>
        <v>2.5230753066651448</v>
      </c>
      <c r="M156" s="2">
        <f t="shared" si="11"/>
        <v>50.400000000000148</v>
      </c>
      <c r="N156" s="58">
        <f t="shared" si="7"/>
        <v>9.8412698412697814</v>
      </c>
    </row>
    <row r="157" spans="1:14" s="7" customFormat="1">
      <c r="A157" s="2"/>
      <c r="B157" s="3"/>
      <c r="C157" s="88"/>
      <c r="D157" s="226"/>
      <c r="E157" s="88"/>
      <c r="F157" s="88"/>
      <c r="G157" s="2"/>
      <c r="J157" s="58">
        <f t="shared" si="8"/>
        <v>0.13916644175178236</v>
      </c>
      <c r="K157" s="58">
        <f t="shared" si="9"/>
        <v>0.80473611892013019</v>
      </c>
      <c r="L157" s="58">
        <f t="shared" si="10"/>
        <v>2.5341769519666353</v>
      </c>
      <c r="M157" s="2">
        <f t="shared" si="11"/>
        <v>50.500000000000149</v>
      </c>
      <c r="N157" s="58">
        <f t="shared" si="7"/>
        <v>9.801980198019745</v>
      </c>
    </row>
    <row r="158" spans="1:14" s="7" customFormat="1">
      <c r="A158" s="40"/>
      <c r="B158" s="2"/>
      <c r="C158" s="144"/>
      <c r="D158" s="272" t="str">
        <f>$D$4</f>
        <v>2-year storm</v>
      </c>
      <c r="E158" s="272" t="str">
        <f>$E$4</f>
        <v>15-year storm</v>
      </c>
      <c r="F158" s="272" t="str">
        <f>$F$4</f>
        <v>100-year storm</v>
      </c>
      <c r="G158" s="2"/>
      <c r="J158" s="58">
        <f t="shared" si="8"/>
        <v>0.14133011558029981</v>
      </c>
      <c r="K158" s="58">
        <f t="shared" si="9"/>
        <v>0.81057515188981122</v>
      </c>
      <c r="L158" s="58">
        <f t="shared" si="10"/>
        <v>2.5452851810408266</v>
      </c>
      <c r="M158" s="2">
        <f t="shared" si="11"/>
        <v>50.600000000000151</v>
      </c>
      <c r="N158" s="58">
        <f t="shared" si="7"/>
        <v>9.7628458498023143</v>
      </c>
    </row>
    <row r="159" spans="1:14" s="7" customFormat="1" ht="14.25">
      <c r="A159" s="398" t="s">
        <v>83</v>
      </c>
      <c r="B159" s="398"/>
      <c r="C159" s="399"/>
      <c r="D159" s="223">
        <f>IF(D$5&gt;0.2*($F156),(D$5-0.2*($F156))^2/(D$5+0.8*($F156)),0)</f>
        <v>0</v>
      </c>
      <c r="E159" s="223">
        <f>IF(E$5&gt;0.2*($F156),(E$5-0.2*($F156))^2/(E$5+0.8*($F156)),0)</f>
        <v>0</v>
      </c>
      <c r="F159" s="223">
        <f>IF(F$5&gt;0.2*($F156),(F$5-0.2*($F156))^2/(F$5+0.8*($F156)),0)</f>
        <v>0</v>
      </c>
      <c r="G159" s="2"/>
      <c r="J159" s="58">
        <f t="shared" si="8"/>
        <v>0.1435086143799999</v>
      </c>
      <c r="K159" s="58">
        <f t="shared" si="9"/>
        <v>0.81642853794372261</v>
      </c>
      <c r="L159" s="58">
        <f t="shared" si="10"/>
        <v>2.5563999481025492</v>
      </c>
      <c r="M159" s="2">
        <f t="shared" si="11"/>
        <v>50.700000000000152</v>
      </c>
      <c r="N159" s="58">
        <f t="shared" si="7"/>
        <v>9.7238658777119724</v>
      </c>
    </row>
    <row r="160" spans="1:14" s="7" customFormat="1" ht="14.25">
      <c r="A160" s="398" t="s">
        <v>84</v>
      </c>
      <c r="B160" s="398"/>
      <c r="C160" s="399"/>
      <c r="D160" s="223">
        <f>IF($C$35&gt;0,D159-$C$36*12/$C$35,D159)</f>
        <v>0</v>
      </c>
      <c r="E160" s="223">
        <f t="shared" ref="E160:F160" si="14">IF($C$35&gt;0,E159-$C$36*12/$C$35,E159)</f>
        <v>0</v>
      </c>
      <c r="F160" s="223">
        <f t="shared" si="14"/>
        <v>0</v>
      </c>
      <c r="G160" s="2"/>
      <c r="J160" s="58">
        <f t="shared" si="8"/>
        <v>0.14570191096654111</v>
      </c>
      <c r="K160" s="58">
        <f t="shared" si="9"/>
        <v>0.82229623997074253</v>
      </c>
      <c r="L160" s="58">
        <f t="shared" si="10"/>
        <v>2.567521207728376</v>
      </c>
      <c r="M160" s="2">
        <f t="shared" si="11"/>
        <v>50.800000000000153</v>
      </c>
      <c r="N160" s="58">
        <f t="shared" si="7"/>
        <v>9.6850393700786803</v>
      </c>
    </row>
    <row r="161" spans="1:14" s="7" customFormat="1">
      <c r="A161" s="274"/>
      <c r="B161" s="274"/>
      <c r="C161" s="29" t="s">
        <v>30</v>
      </c>
      <c r="D161" s="224">
        <f>IF(D160&gt;0,VLOOKUP(D160,J$52:$N$650,4),0)</f>
        <v>0</v>
      </c>
      <c r="E161" s="224">
        <f>IF(E160&gt;0,VLOOKUP(E160,K$52:$N$650,3),0)</f>
        <v>0</v>
      </c>
      <c r="F161" s="224">
        <f>IF(F160&gt;0,VLOOKUP(F160,L$52:$N$650,2),0)</f>
        <v>0</v>
      </c>
      <c r="G161" s="2"/>
      <c r="J161" s="58">
        <f t="shared" si="8"/>
        <v>0.14790997857737573</v>
      </c>
      <c r="K161" s="58">
        <f t="shared" si="9"/>
        <v>0.8281782212324027</v>
      </c>
      <c r="L161" s="58">
        <f t="shared" si="10"/>
        <v>2.5786489148530745</v>
      </c>
      <c r="M161" s="2">
        <f t="shared" si="11"/>
        <v>50.900000000000155</v>
      </c>
      <c r="N161" s="58">
        <f t="shared" si="7"/>
        <v>9.6463654223967978</v>
      </c>
    </row>
    <row r="162" spans="1:14" s="7" customFormat="1">
      <c r="A162" s="2"/>
      <c r="B162" s="2"/>
      <c r="C162" s="88"/>
      <c r="D162" s="226"/>
      <c r="E162" s="88"/>
      <c r="F162" s="226"/>
      <c r="G162" s="2"/>
      <c r="J162" s="58">
        <f t="shared" si="8"/>
        <v>0.15013279086851222</v>
      </c>
      <c r="K162" s="58">
        <f t="shared" si="9"/>
        <v>0.83407444535940667</v>
      </c>
      <c r="L162" s="58">
        <f t="shared" si="10"/>
        <v>2.589783024766092</v>
      </c>
      <c r="M162" s="2">
        <f t="shared" si="11"/>
        <v>51.000000000000156</v>
      </c>
      <c r="N162" s="58">
        <f t="shared" si="7"/>
        <v>9.607843137254843</v>
      </c>
    </row>
    <row r="163" spans="1:14" s="7" customFormat="1" ht="14.25" customHeight="1">
      <c r="A163" s="400" t="s">
        <v>211</v>
      </c>
      <c r="B163" s="401"/>
      <c r="C163" s="401"/>
      <c r="D163" s="401"/>
      <c r="E163" s="401"/>
      <c r="F163" s="402"/>
      <c r="G163" s="2"/>
      <c r="J163" s="58">
        <f t="shared" si="8"/>
        <v>0.15237032191132055</v>
      </c>
      <c r="K163" s="58">
        <f t="shared" si="9"/>
        <v>0.8399848763481883</v>
      </c>
      <c r="L163" s="58">
        <f t="shared" si="10"/>
        <v>2.6009234931080814</v>
      </c>
      <c r="M163" s="2">
        <f t="shared" si="11"/>
        <v>51.100000000000158</v>
      </c>
      <c r="N163" s="58">
        <f t="shared" si="7"/>
        <v>9.569471624266086</v>
      </c>
    </row>
    <row r="164" spans="1:14" s="7" customFormat="1" ht="13.5" thickBot="1">
      <c r="A164" s="403" t="s">
        <v>28</v>
      </c>
      <c r="B164" s="404"/>
      <c r="C164" s="273"/>
      <c r="D164" s="227" t="s">
        <v>29</v>
      </c>
      <c r="E164" s="51"/>
      <c r="F164" s="51"/>
      <c r="G164" s="2"/>
      <c r="J164" s="58">
        <f t="shared" si="8"/>
        <v>0.15462254618938004</v>
      </c>
      <c r="K164" s="58">
        <f t="shared" si="9"/>
        <v>0.84590947855751419</v>
      </c>
      <c r="L164" s="58">
        <f t="shared" si="10"/>
        <v>2.6120702758674761</v>
      </c>
      <c r="M164" s="2">
        <f t="shared" si="11"/>
        <v>51.200000000000159</v>
      </c>
      <c r="N164" s="58">
        <f t="shared" si="7"/>
        <v>9.5312499999999396</v>
      </c>
    </row>
    <row r="165" spans="1:14" s="7" customFormat="1">
      <c r="A165" s="394" t="s">
        <v>25</v>
      </c>
      <c r="B165" s="395"/>
      <c r="C165" s="85" t="s">
        <v>69</v>
      </c>
      <c r="D165" s="201">
        <f>'D.A. 9'!$B$6</f>
        <v>0</v>
      </c>
      <c r="E165" s="16"/>
      <c r="F165" s="16"/>
      <c r="G165" s="2"/>
      <c r="J165" s="58">
        <f t="shared" si="8"/>
        <v>0.15688943859536841</v>
      </c>
      <c r="K165" s="58">
        <f t="shared" si="9"/>
        <v>0.85184821670512423</v>
      </c>
      <c r="L165" s="58">
        <f t="shared" si="10"/>
        <v>2.6232233293770957</v>
      </c>
      <c r="M165" s="2">
        <f t="shared" si="11"/>
        <v>51.300000000000161</v>
      </c>
      <c r="N165" s="58">
        <f t="shared" si="7"/>
        <v>9.4931773879141694</v>
      </c>
    </row>
    <row r="166" spans="1:14" s="7" customFormat="1" ht="13.5" thickBot="1">
      <c r="A166" s="396"/>
      <c r="B166" s="397"/>
      <c r="C166" s="86" t="s">
        <v>8</v>
      </c>
      <c r="D166" s="202">
        <v>70</v>
      </c>
      <c r="E166" s="115"/>
      <c r="F166" s="115"/>
      <c r="G166" s="2"/>
      <c r="J166" s="58">
        <f t="shared" si="8"/>
        <v>0.15917097442799233</v>
      </c>
      <c r="K166" s="58">
        <f t="shared" si="9"/>
        <v>0.85780105586441258</v>
      </c>
      <c r="L166" s="58">
        <f t="shared" si="10"/>
        <v>2.6343826103108015</v>
      </c>
      <c r="M166" s="2">
        <f t="shared" si="11"/>
        <v>51.400000000000162</v>
      </c>
      <c r="N166" s="58">
        <f t="shared" si="7"/>
        <v>9.4552529182878757</v>
      </c>
    </row>
    <row r="167" spans="1:14" s="7" customFormat="1">
      <c r="A167" s="394" t="s">
        <v>32</v>
      </c>
      <c r="B167" s="395"/>
      <c r="C167" s="85" t="s">
        <v>69</v>
      </c>
      <c r="D167" s="201">
        <f>'D.A. 9'!$B$7</f>
        <v>0</v>
      </c>
      <c r="E167" s="16"/>
      <c r="F167" s="16"/>
      <c r="G167" s="2"/>
      <c r="J167" s="58">
        <f t="shared" si="8"/>
        <v>0.16146712938895752</v>
      </c>
      <c r="K167" s="58">
        <f t="shared" si="9"/>
        <v>0.86376796146114687</v>
      </c>
      <c r="L167" s="58">
        <f t="shared" si="10"/>
        <v>2.6455480756801779</v>
      </c>
      <c r="M167" s="2">
        <f t="shared" si="11"/>
        <v>51.500000000000163</v>
      </c>
      <c r="N167" s="58">
        <f t="shared" si="7"/>
        <v>9.4174757281552779</v>
      </c>
    </row>
    <row r="168" spans="1:14" s="7" customFormat="1" ht="13.5" thickBot="1">
      <c r="A168" s="396"/>
      <c r="B168" s="397"/>
      <c r="C168" s="86" t="s">
        <v>8</v>
      </c>
      <c r="D168" s="202">
        <v>74</v>
      </c>
      <c r="E168" s="115"/>
      <c r="F168" s="115"/>
      <c r="G168" s="2"/>
      <c r="J168" s="58">
        <f t="shared" si="8"/>
        <v>0.16377787957997991</v>
      </c>
      <c r="K168" s="58">
        <f t="shared" si="9"/>
        <v>0.86974889927022636</v>
      </c>
      <c r="L168" s="58">
        <f t="shared" si="10"/>
        <v>2.656719682831266</v>
      </c>
      <c r="M168" s="2">
        <f t="shared" si="11"/>
        <v>51.600000000000165</v>
      </c>
      <c r="N168" s="58">
        <f t="shared" si="7"/>
        <v>9.3798449612402486</v>
      </c>
    </row>
    <row r="169" spans="1:14" s="7" customFormat="1">
      <c r="A169" s="394" t="s">
        <v>13</v>
      </c>
      <c r="B169" s="395"/>
      <c r="C169" s="85" t="s">
        <v>69</v>
      </c>
      <c r="D169" s="201">
        <f>'D.A. 9'!$B$8+'D.A. 9'!B10</f>
        <v>0</v>
      </c>
      <c r="E169" s="228" t="s">
        <v>7</v>
      </c>
      <c r="F169" s="229" t="s">
        <v>9</v>
      </c>
      <c r="G169" s="2"/>
      <c r="J169" s="58">
        <f t="shared" si="8"/>
        <v>0.16610320149983601</v>
      </c>
      <c r="K169" s="58">
        <f t="shared" si="9"/>
        <v>0.87574383541248091</v>
      </c>
      <c r="L169" s="58">
        <f t="shared" si="10"/>
        <v>2.6678973894413245</v>
      </c>
      <c r="M169" s="2">
        <f t="shared" si="11"/>
        <v>51.700000000000166</v>
      </c>
      <c r="N169" s="58">
        <f t="shared" si="7"/>
        <v>9.3423597678916188</v>
      </c>
    </row>
    <row r="170" spans="1:14" s="7" customFormat="1" ht="13.5" thickBot="1">
      <c r="A170" s="396"/>
      <c r="B170" s="397"/>
      <c r="C170" s="86" t="s">
        <v>8</v>
      </c>
      <c r="D170" s="203">
        <v>98</v>
      </c>
      <c r="E170" s="200">
        <f>IF(C39&gt;0,(D165*D166+D167*D168+D169*D170)/C39,0)</f>
        <v>0</v>
      </c>
      <c r="F170" s="223">
        <f>IF(E170&gt;0,1000/E170-10,1000)</f>
        <v>1000</v>
      </c>
      <c r="G170" s="2"/>
      <c r="J170" s="58">
        <f t="shared" si="8"/>
        <v>0.16844307204145084</v>
      </c>
      <c r="K170" s="58">
        <f t="shared" si="9"/>
        <v>0.88175273635150053</v>
      </c>
      <c r="L170" s="58">
        <f t="shared" si="10"/>
        <v>2.6790811535156327</v>
      </c>
      <c r="M170" s="2">
        <f t="shared" si="11"/>
        <v>51.800000000000168</v>
      </c>
      <c r="N170" s="58">
        <f t="shared" si="7"/>
        <v>9.3050193050192433</v>
      </c>
    </row>
    <row r="171" spans="1:14" s="7" customFormat="1">
      <c r="A171" s="2"/>
      <c r="B171" s="3"/>
      <c r="C171" s="88"/>
      <c r="D171" s="226"/>
      <c r="E171" s="88"/>
      <c r="F171" s="88"/>
      <c r="G171" s="2"/>
      <c r="J171" s="58">
        <f t="shared" si="8"/>
        <v>0.17079746848902727</v>
      </c>
      <c r="K171" s="58">
        <f t="shared" si="9"/>
        <v>0.88777556889051101</v>
      </c>
      <c r="L171" s="58">
        <f t="shared" si="10"/>
        <v>2.690270933384336</v>
      </c>
      <c r="M171" s="2">
        <f t="shared" si="11"/>
        <v>51.900000000000169</v>
      </c>
      <c r="N171" s="58">
        <f t="shared" si="7"/>
        <v>9.2678227360307659</v>
      </c>
    </row>
    <row r="172" spans="1:14" s="7" customFormat="1">
      <c r="A172" s="40"/>
      <c r="B172" s="2"/>
      <c r="C172" s="144"/>
      <c r="D172" s="272" t="str">
        <f>$D$4</f>
        <v>2-year storm</v>
      </c>
      <c r="E172" s="272" t="str">
        <f>$E$4</f>
        <v>15-year storm</v>
      </c>
      <c r="F172" s="272" t="str">
        <f>$F$4</f>
        <v>100-year storm</v>
      </c>
      <c r="G172" s="2"/>
      <c r="J172" s="58">
        <f t="shared" si="8"/>
        <v>0.17316636851520989</v>
      </c>
      <c r="K172" s="58">
        <f t="shared" si="9"/>
        <v>0.89381230016927893</v>
      </c>
      <c r="L172" s="58">
        <f t="shared" si="10"/>
        <v>2.7014666876993121</v>
      </c>
      <c r="M172" s="2">
        <f t="shared" si="11"/>
        <v>52.000000000000171</v>
      </c>
      <c r="N172" s="58">
        <f t="shared" si="7"/>
        <v>9.230769230769166</v>
      </c>
    </row>
    <row r="173" spans="1:14" s="7" customFormat="1" ht="14.25">
      <c r="A173" s="398" t="s">
        <v>83</v>
      </c>
      <c r="B173" s="398"/>
      <c r="C173" s="399"/>
      <c r="D173" s="223">
        <f>IF(D$5&gt;0.2*($F170),(D$5-0.2*($F170))^2/(D$5+0.8*($F170)),0)</f>
        <v>0</v>
      </c>
      <c r="E173" s="223">
        <f>IF(E$5&gt;0.2*($F170),(E$5-0.2*($F170))^2/(E$5+0.8*($F170)),0)</f>
        <v>0</v>
      </c>
      <c r="F173" s="223">
        <f>IF(F$5&gt;0.2*($F170),(F$5-0.2*($F170))^2/(F$5+0.8*($F170)),0)</f>
        <v>0</v>
      </c>
      <c r="G173" s="2"/>
      <c r="J173" s="58">
        <f t="shared" si="8"/>
        <v>0.17554975017828867</v>
      </c>
      <c r="K173" s="58">
        <f t="shared" si="9"/>
        <v>0.89986289766105454</v>
      </c>
      <c r="L173" s="58">
        <f t="shared" si="10"/>
        <v>2.7126683754310905</v>
      </c>
      <c r="M173" s="2">
        <f t="shared" si="11"/>
        <v>52.100000000000172</v>
      </c>
      <c r="N173" s="58">
        <f t="shared" si="7"/>
        <v>9.1938579654509915</v>
      </c>
    </row>
    <row r="174" spans="1:14" s="7" customFormat="1" ht="14.25">
      <c r="A174" s="398" t="s">
        <v>84</v>
      </c>
      <c r="B174" s="398"/>
      <c r="C174" s="399"/>
      <c r="D174" s="223">
        <f>IF($C$39&gt;0,D173-$C$40*12/$C$39,D173)</f>
        <v>0</v>
      </c>
      <c r="E174" s="223">
        <f t="shared" ref="E174:F174" si="15">IF($C$39&gt;0,E173-$C$40*12/$C$39,E173)</f>
        <v>0</v>
      </c>
      <c r="F174" s="223">
        <f t="shared" si="15"/>
        <v>0</v>
      </c>
      <c r="G174" s="2"/>
      <c r="J174" s="58">
        <f t="shared" si="8"/>
        <v>0.17794759191943943</v>
      </c>
      <c r="K174" s="58">
        <f t="shared" si="9"/>
        <v>0.90592732916955399</v>
      </c>
      <c r="L174" s="58">
        <f t="shared" si="10"/>
        <v>2.7238759558657968</v>
      </c>
      <c r="M174" s="2">
        <f t="shared" si="11"/>
        <v>52.200000000000173</v>
      </c>
      <c r="N174" s="58">
        <f t="shared" si="7"/>
        <v>9.1570881226053018</v>
      </c>
    </row>
    <row r="175" spans="1:14" s="7" customFormat="1">
      <c r="A175" s="274"/>
      <c r="B175" s="274"/>
      <c r="C175" s="29" t="s">
        <v>30</v>
      </c>
      <c r="D175" s="224">
        <f>IF(D174&gt;0,VLOOKUP(D174,J$52:$N$650,4),0)</f>
        <v>0</v>
      </c>
      <c r="E175" s="224">
        <f>IF(E174&gt;0,VLOOKUP(E174,K$52:$N$650,3),0)</f>
        <v>0</v>
      </c>
      <c r="F175" s="224">
        <f>IF(F174&gt;0,VLOOKUP(F174,L$52:$N$650,2),0)</f>
        <v>0</v>
      </c>
      <c r="G175" s="2"/>
      <c r="J175" s="58">
        <f t="shared" si="8"/>
        <v>0.18035987256000019</v>
      </c>
      <c r="K175" s="58">
        <f t="shared" si="9"/>
        <v>0.91200556282597212</v>
      </c>
      <c r="L175" s="58">
        <f t="shared" si="10"/>
        <v>2.7350893886021383</v>
      </c>
      <c r="M175" s="2">
        <f t="shared" si="11"/>
        <v>52.300000000000175</v>
      </c>
      <c r="N175" s="58">
        <f t="shared" si="7"/>
        <v>9.1204588910133211</v>
      </c>
    </row>
    <row r="176" spans="1:14" s="7" customFormat="1">
      <c r="A176" s="2"/>
      <c r="B176" s="2"/>
      <c r="C176" s="88"/>
      <c r="D176" s="226"/>
      <c r="E176" s="88"/>
      <c r="F176" s="226"/>
      <c r="G176" s="2"/>
      <c r="J176" s="58">
        <f t="shared" si="8"/>
        <v>0.18278657129878303</v>
      </c>
      <c r="K176" s="58">
        <f t="shared" si="9"/>
        <v>0.91809756708602919</v>
      </c>
      <c r="L176" s="58">
        <f t="shared" si="10"/>
        <v>2.7463086335484159</v>
      </c>
      <c r="M176" s="2">
        <f t="shared" si="11"/>
        <v>52.400000000000176</v>
      </c>
      <c r="N176" s="58">
        <f t="shared" si="7"/>
        <v>9.0839694656487922</v>
      </c>
    </row>
    <row r="177" spans="1:14" s="7" customFormat="1">
      <c r="A177" s="400" t="s">
        <v>210</v>
      </c>
      <c r="B177" s="401"/>
      <c r="C177" s="401"/>
      <c r="D177" s="401"/>
      <c r="E177" s="401"/>
      <c r="F177" s="402"/>
      <c r="G177" s="2"/>
      <c r="J177" s="58">
        <f t="shared" si="8"/>
        <v>0.18522766770942387</v>
      </c>
      <c r="K177" s="58">
        <f t="shared" si="9"/>
        <v>0.92420331072705819</v>
      </c>
      <c r="L177" s="58">
        <f t="shared" si="10"/>
        <v>2.7575336509195805</v>
      </c>
      <c r="M177" s="2">
        <f t="shared" si="11"/>
        <v>52.500000000000178</v>
      </c>
      <c r="N177" s="58">
        <f t="shared" si="7"/>
        <v>9.0476190476189835</v>
      </c>
    </row>
    <row r="178" spans="1:14" s="7" customFormat="1" ht="13.5" thickBot="1">
      <c r="A178" s="403" t="s">
        <v>28</v>
      </c>
      <c r="B178" s="404"/>
      <c r="C178" s="273"/>
      <c r="D178" s="227" t="s">
        <v>29</v>
      </c>
      <c r="E178" s="51"/>
      <c r="F178" s="51"/>
      <c r="G178" s="2"/>
      <c r="J178" s="58">
        <f t="shared" si="8"/>
        <v>0.18768314173776479</v>
      </c>
      <c r="K178" s="58">
        <f t="shared" si="9"/>
        <v>0.9303227628451185</v>
      </c>
      <c r="L178" s="58">
        <f t="shared" si="10"/>
        <v>2.7687644012343151</v>
      </c>
      <c r="M178" s="2">
        <f t="shared" si="11"/>
        <v>52.600000000000179</v>
      </c>
      <c r="N178" s="58">
        <f t="shared" si="7"/>
        <v>9.0114068441063999</v>
      </c>
    </row>
    <row r="179" spans="1:14" s="7" customFormat="1">
      <c r="A179" s="394" t="s">
        <v>25</v>
      </c>
      <c r="B179" s="395"/>
      <c r="C179" s="85" t="s">
        <v>69</v>
      </c>
      <c r="D179" s="201">
        <f>'D.A. 10'!$B$6</f>
        <v>0</v>
      </c>
      <c r="E179" s="16"/>
      <c r="F179" s="16"/>
      <c r="G179" s="2"/>
      <c r="H179" s="79"/>
      <c r="J179" s="58">
        <f t="shared" si="8"/>
        <v>0.19015297369927306</v>
      </c>
      <c r="K179" s="58">
        <f t="shared" si="9"/>
        <v>0.9364558928521477</v>
      </c>
      <c r="L179" s="58">
        <f t="shared" si="10"/>
        <v>2.7800008453121534</v>
      </c>
      <c r="M179" s="2">
        <f t="shared" si="11"/>
        <v>52.70000000000018</v>
      </c>
      <c r="N179" s="58">
        <f t="shared" si="7"/>
        <v>8.9753320683111291</v>
      </c>
    </row>
    <row r="180" spans="1:14" s="7" customFormat="1" ht="13.5" thickBot="1">
      <c r="A180" s="396"/>
      <c r="B180" s="397"/>
      <c r="C180" s="86" t="s">
        <v>8</v>
      </c>
      <c r="D180" s="202">
        <v>70</v>
      </c>
      <c r="E180" s="115"/>
      <c r="F180" s="115"/>
      <c r="G180" s="2"/>
      <c r="H180" s="79"/>
      <c r="J180" s="58">
        <f t="shared" si="8"/>
        <v>0.19263714427649317</v>
      </c>
      <c r="K180" s="58">
        <f t="shared" si="9"/>
        <v>0.94260267047314306</v>
      </c>
      <c r="L180" s="58">
        <f t="shared" si="10"/>
        <v>2.7912429442706288</v>
      </c>
      <c r="M180" s="2">
        <f t="shared" si="11"/>
        <v>52.800000000000182</v>
      </c>
      <c r="N180" s="58">
        <f t="shared" ref="N180:N243" si="16">IF(M180&gt;0,1000/M180-10,1000)</f>
        <v>8.9393939393938737</v>
      </c>
    </row>
    <row r="181" spans="1:14" s="7" customFormat="1" ht="16.5" customHeight="1">
      <c r="A181" s="394" t="s">
        <v>32</v>
      </c>
      <c r="B181" s="395"/>
      <c r="C181" s="85" t="s">
        <v>69</v>
      </c>
      <c r="D181" s="201">
        <f>'D.A. 10'!$B$7</f>
        <v>0</v>
      </c>
      <c r="E181" s="16"/>
      <c r="F181" s="16"/>
      <c r="G181" s="2"/>
      <c r="H181" s="4"/>
      <c r="J181" s="58">
        <f t="shared" si="8"/>
        <v>0.19513563451653396</v>
      </c>
      <c r="K181" s="58">
        <f t="shared" si="9"/>
        <v>0.94876306574337854</v>
      </c>
      <c r="L181" s="58">
        <f t="shared" si="10"/>
        <v>2.8024906595224617</v>
      </c>
      <c r="M181" s="2">
        <f t="shared" si="11"/>
        <v>52.900000000000183</v>
      </c>
      <c r="N181" s="58">
        <f t="shared" si="16"/>
        <v>8.9035916824195951</v>
      </c>
    </row>
    <row r="182" spans="1:14" s="7" customFormat="1" ht="13.5" thickBot="1">
      <c r="A182" s="396"/>
      <c r="B182" s="397"/>
      <c r="C182" s="86" t="s">
        <v>8</v>
      </c>
      <c r="D182" s="202">
        <v>74</v>
      </c>
      <c r="E182" s="115"/>
      <c r="F182" s="115"/>
      <c r="G182" s="2"/>
      <c r="H182" s="4"/>
      <c r="J182" s="58">
        <f t="shared" si="8"/>
        <v>0.19764842582858885</v>
      </c>
      <c r="K182" s="58">
        <f t="shared" si="9"/>
        <v>0.95493704900565235</v>
      </c>
      <c r="L182" s="58">
        <f t="shared" si="10"/>
        <v>2.8137439527727728</v>
      </c>
      <c r="M182" s="2">
        <f t="shared" si="11"/>
        <v>53.000000000000185</v>
      </c>
      <c r="N182" s="58">
        <f t="shared" si="16"/>
        <v>8.8679245283018204</v>
      </c>
    </row>
    <row r="183" spans="1:14" s="7" customFormat="1">
      <c r="A183" s="394" t="s">
        <v>13</v>
      </c>
      <c r="B183" s="395"/>
      <c r="C183" s="85" t="s">
        <v>69</v>
      </c>
      <c r="D183" s="201">
        <f>'D.A. 10'!$B$8+'D.A. 10'!B10</f>
        <v>0</v>
      </c>
      <c r="E183" s="228" t="s">
        <v>7</v>
      </c>
      <c r="F183" s="229" t="s">
        <v>9</v>
      </c>
      <c r="G183" s="2"/>
      <c r="H183" s="4"/>
      <c r="J183" s="58">
        <f t="shared" si="8"/>
        <v>0.2001754999814874</v>
      </c>
      <c r="K183" s="58">
        <f t="shared" si="9"/>
        <v>0.96112459090756208</v>
      </c>
      <c r="L183" s="58">
        <f t="shared" si="10"/>
        <v>2.8250027860163249</v>
      </c>
      <c r="M183" s="2">
        <f t="shared" si="11"/>
        <v>53.100000000000186</v>
      </c>
      <c r="N183" s="58">
        <f t="shared" si="16"/>
        <v>8.8323917137475796</v>
      </c>
    </row>
    <row r="184" spans="1:14" s="7" customFormat="1" ht="13.5" thickBot="1">
      <c r="A184" s="396"/>
      <c r="B184" s="397"/>
      <c r="C184" s="86" t="s">
        <v>8</v>
      </c>
      <c r="D184" s="203">
        <v>98</v>
      </c>
      <c r="E184" s="200">
        <f>IF(C43&gt;0,(D179*D180+D181*D182+D183*D184)/C43,0)</f>
        <v>0</v>
      </c>
      <c r="F184" s="223">
        <f>IF(E184&gt;0,1000/E184-10,1000)</f>
        <v>1000</v>
      </c>
      <c r="G184" s="2"/>
      <c r="H184" s="4"/>
      <c r="J184" s="58">
        <f t="shared" si="8"/>
        <v>0.20271683910128324</v>
      </c>
      <c r="K184" s="58">
        <f t="shared" si="9"/>
        <v>0.96732566239882023</v>
      </c>
      <c r="L184" s="58">
        <f t="shared" si="10"/>
        <v>2.8362671215348074</v>
      </c>
      <c r="M184" s="2">
        <f t="shared" si="11"/>
        <v>53.200000000000188</v>
      </c>
      <c r="N184" s="58">
        <f t="shared" si="16"/>
        <v>8.7969924812029419</v>
      </c>
    </row>
    <row r="185" spans="1:14" s="7" customFormat="1">
      <c r="A185" s="2"/>
      <c r="B185" s="3"/>
      <c r="C185" s="88"/>
      <c r="D185" s="226"/>
      <c r="E185" s="88"/>
      <c r="F185" s="88"/>
      <c r="G185" s="2"/>
      <c r="H185" s="4"/>
      <c r="J185" s="58">
        <f t="shared" si="8"/>
        <v>0.20527242566887069</v>
      </c>
      <c r="K185" s="58">
        <f t="shared" si="9"/>
        <v>0.97354023472859075</v>
      </c>
      <c r="L185" s="58">
        <f t="shared" si="10"/>
        <v>2.8475369218941409</v>
      </c>
      <c r="M185" s="2">
        <f t="shared" si="11"/>
        <v>53.300000000000189</v>
      </c>
      <c r="N185" s="58">
        <f t="shared" si="16"/>
        <v>8.7617260787991817</v>
      </c>
    </row>
    <row r="186" spans="1:14" s="7" customFormat="1">
      <c r="A186" s="40"/>
      <c r="B186" s="2"/>
      <c r="C186" s="144"/>
      <c r="D186" s="272" t="str">
        <f>$D$4</f>
        <v>2-year storm</v>
      </c>
      <c r="E186" s="272" t="str">
        <f>$E$4</f>
        <v>15-year storm</v>
      </c>
      <c r="F186" s="272" t="str">
        <f>$F$4</f>
        <v>100-year storm</v>
      </c>
      <c r="G186" s="2"/>
      <c r="H186" s="4"/>
      <c r="J186" s="58">
        <f t="shared" si="8"/>
        <v>0.20784224251763472</v>
      </c>
      <c r="K186" s="58">
        <f t="shared" si="9"/>
        <v>0.97976827944286171</v>
      </c>
      <c r="L186" s="58">
        <f t="shared" si="10"/>
        <v>2.8588121499418144</v>
      </c>
      <c r="M186" s="2">
        <f t="shared" si="11"/>
        <v>53.40000000000019</v>
      </c>
      <c r="N186" s="58">
        <f t="shared" si="16"/>
        <v>8.7265917602995593</v>
      </c>
    </row>
    <row r="187" spans="1:14" s="7" customFormat="1" ht="14.25">
      <c r="A187" s="398" t="s">
        <v>83</v>
      </c>
      <c r="B187" s="398"/>
      <c r="C187" s="399"/>
      <c r="D187" s="223">
        <f>IF(D$5&gt;0.2*($F184),(D$5-0.2*($F184))^2/(D$5+0.8*($F184)),0)</f>
        <v>0</v>
      </c>
      <c r="E187" s="223">
        <f>IF(E$5&gt;0.2*($F184),(E$5-0.2*($F184))^2/(E$5+0.8*($F184)),0)</f>
        <v>0</v>
      </c>
      <c r="F187" s="223">
        <f>IF(F$5&gt;0.2*($F184),(F$5-0.2*($F184))^2/(F$5+0.8*($F184)),0)</f>
        <v>0</v>
      </c>
      <c r="G187" s="2"/>
      <c r="H187" s="4"/>
      <c r="J187" s="58">
        <f t="shared" si="8"/>
        <v>0.21042627283113377</v>
      </c>
      <c r="K187" s="58">
        <f t="shared" si="9"/>
        <v>0.98600976838184706</v>
      </c>
      <c r="L187" s="58">
        <f t="shared" si="10"/>
        <v>2.8700927688042581</v>
      </c>
      <c r="M187" s="2">
        <f t="shared" si="11"/>
        <v>53.500000000000192</v>
      </c>
      <c r="N187" s="58">
        <f t="shared" si="16"/>
        <v>8.6915887850466618</v>
      </c>
    </row>
    <row r="188" spans="1:14" s="7" customFormat="1" ht="14.25">
      <c r="A188" s="398" t="s">
        <v>84</v>
      </c>
      <c r="B188" s="398"/>
      <c r="C188" s="399"/>
      <c r="D188" s="223">
        <f>IF($C$43&gt;0,D187-$C$44*12/$C$43,D187)</f>
        <v>0</v>
      </c>
      <c r="E188" s="223">
        <f>IF($C$43&gt;0,E187-$C$44*12/$C$43,E187)</f>
        <v>0</v>
      </c>
      <c r="F188" s="223">
        <f>IF($C$43&gt;0,F187-$C$44*12/$C$43,F187)</f>
        <v>0</v>
      </c>
      <c r="G188" s="2"/>
      <c r="H188" s="82"/>
      <c r="J188" s="58">
        <f t="shared" ref="J188:J251" si="17">IF(D$5&gt;0.2*($N188),(D$5-0.2*($N188))^2/(D$5+0.8*($N188)),0)</f>
        <v>0.2130245001408104</v>
      </c>
      <c r="K188" s="58">
        <f t="shared" ref="K188:K251" si="18">IF(E$5&gt;0.2*($N188),(E$5-0.2*($N188))^2/(E$5+0.8*($N188)),0)</f>
        <v>0.99226467367741511</v>
      </c>
      <c r="L188" s="58">
        <f t="shared" ref="L188:L251" si="19">IF(F$5&gt;0.2*($N188),(F$5-0.2*($N188))^2/(F$5+0.8*($N188)),0)</f>
        <v>2.8813787418842338</v>
      </c>
      <c r="M188" s="2">
        <f t="shared" ref="M188:M251" si="20">M187+0.1</f>
        <v>53.600000000000193</v>
      </c>
      <c r="N188" s="58">
        <f t="shared" si="16"/>
        <v>8.6567164179103813</v>
      </c>
    </row>
    <row r="189" spans="1:14" s="7" customFormat="1">
      <c r="A189" s="274"/>
      <c r="B189" s="274"/>
      <c r="C189" s="29" t="s">
        <v>30</v>
      </c>
      <c r="D189" s="224">
        <f>IF(D188&gt;0,VLOOKUP(D188,J$52:$N$650,4),0)</f>
        <v>0</v>
      </c>
      <c r="E189" s="224">
        <f>IF(E188&gt;0,VLOOKUP(E188,K$52:$N$650,3),0)</f>
        <v>0</v>
      </c>
      <c r="F189" s="224">
        <f>IF(F188&gt;0,VLOOKUP(F188,L$52:$N$650,2),0)</f>
        <v>0</v>
      </c>
      <c r="G189" s="2"/>
      <c r="H189" s="4"/>
      <c r="J189" s="58">
        <f t="shared" si="17"/>
        <v>0.21563690832373614</v>
      </c>
      <c r="K189" s="58">
        <f t="shared" si="18"/>
        <v>0.99853296775055078</v>
      </c>
      <c r="L189" s="58">
        <f t="shared" si="19"/>
        <v>2.8926700328582706</v>
      </c>
      <c r="M189" s="2">
        <f t="shared" si="20"/>
        <v>53.700000000000195</v>
      </c>
      <c r="N189" s="58">
        <f t="shared" si="16"/>
        <v>8.6219739292364324</v>
      </c>
    </row>
    <row r="190" spans="1:14" s="7" customFormat="1">
      <c r="A190" s="2"/>
      <c r="B190" s="2"/>
      <c r="C190" s="88"/>
      <c r="D190" s="226"/>
      <c r="E190" s="88"/>
      <c r="F190" s="226"/>
      <c r="G190" s="2"/>
      <c r="H190" s="4"/>
      <c r="J190" s="58">
        <f t="shared" si="17"/>
        <v>0.21826348160038475</v>
      </c>
      <c r="K190" s="58">
        <f t="shared" si="18"/>
        <v>1.0048146233088424</v>
      </c>
      <c r="L190" s="58">
        <f t="shared" si="19"/>
        <v>2.9039666056741136</v>
      </c>
      <c r="M190" s="2">
        <f t="shared" si="20"/>
        <v>53.800000000000196</v>
      </c>
      <c r="N190" s="58">
        <f t="shared" si="16"/>
        <v>8.5873605947954701</v>
      </c>
    </row>
    <row r="191" spans="1:14" s="7" customFormat="1">
      <c r="A191" s="2"/>
      <c r="B191" s="2"/>
      <c r="C191" s="88"/>
      <c r="D191" s="226"/>
      <c r="E191" s="88"/>
      <c r="F191" s="226"/>
      <c r="G191" s="2"/>
      <c r="H191" s="4"/>
      <c r="J191" s="58">
        <f t="shared" si="17"/>
        <v>0.22090420453243503</v>
      </c>
      <c r="K191" s="58">
        <f t="shared" si="18"/>
        <v>1.0111096133439972</v>
      </c>
      <c r="L191" s="58">
        <f t="shared" si="19"/>
        <v>2.9152684245482083</v>
      </c>
      <c r="M191" s="2">
        <f t="shared" si="20"/>
        <v>53.900000000000198</v>
      </c>
      <c r="N191" s="58">
        <f t="shared" si="16"/>
        <v>8.5528756957327694</v>
      </c>
    </row>
    <row r="192" spans="1:14" s="7" customFormat="1">
      <c r="A192" s="2"/>
      <c r="B192" s="2"/>
      <c r="C192" s="88"/>
      <c r="D192" s="226"/>
      <c r="E192" s="88"/>
      <c r="F192" s="226"/>
      <c r="G192" s="2"/>
      <c r="H192" s="82"/>
      <c r="J192" s="58">
        <f t="shared" si="17"/>
        <v>0.22355906202060569</v>
      </c>
      <c r="K192" s="58">
        <f t="shared" si="18"/>
        <v>1.0174179111293906</v>
      </c>
      <c r="L192" s="58">
        <f t="shared" si="19"/>
        <v>2.9265754539632169</v>
      </c>
      <c r="M192" s="2">
        <f t="shared" si="20"/>
        <v>54.000000000000199</v>
      </c>
      <c r="N192" s="58">
        <f t="shared" si="16"/>
        <v>8.5185185185184515</v>
      </c>
    </row>
    <row r="193" spans="9:14" ht="12.75" customHeight="1">
      <c r="I193" s="7"/>
      <c r="J193" s="58">
        <f t="shared" si="17"/>
        <v>0.22622803930251772</v>
      </c>
      <c r="K193" s="58">
        <f t="shared" si="18"/>
        <v>1.0237394902176367</v>
      </c>
      <c r="L193" s="58">
        <f t="shared" si="19"/>
        <v>2.9378876586655536</v>
      </c>
      <c r="M193" s="2">
        <f t="shared" si="20"/>
        <v>54.1000000000002</v>
      </c>
      <c r="N193" s="58">
        <f t="shared" si="16"/>
        <v>8.4842883548982684</v>
      </c>
    </row>
    <row r="194" spans="9:14">
      <c r="I194" s="7"/>
      <c r="J194" s="58">
        <f t="shared" si="17"/>
        <v>0.22891112195058463</v>
      </c>
      <c r="K194" s="58">
        <f t="shared" si="18"/>
        <v>1.0300743244381849</v>
      </c>
      <c r="L194" s="58">
        <f t="shared" si="19"/>
        <v>2.9492050036629522</v>
      </c>
      <c r="M194" s="2">
        <f t="shared" si="20"/>
        <v>54.200000000000202</v>
      </c>
      <c r="N194" s="58">
        <f t="shared" si="16"/>
        <v>8.4501845018449515</v>
      </c>
    </row>
    <row r="195" spans="9:14">
      <c r="I195" s="7"/>
      <c r="J195" s="58">
        <f t="shared" si="17"/>
        <v>0.23160829586993503</v>
      </c>
      <c r="K195" s="58">
        <f t="shared" si="18"/>
        <v>1.036422387894953</v>
      </c>
      <c r="L195" s="58">
        <f t="shared" si="19"/>
        <v>2.9605274542220603</v>
      </c>
      <c r="M195" s="2">
        <f t="shared" si="20"/>
        <v>54.300000000000203</v>
      </c>
      <c r="N195" s="58">
        <f t="shared" si="16"/>
        <v>8.4162062615100588</v>
      </c>
    </row>
    <row r="196" spans="9:14">
      <c r="I196" s="7"/>
      <c r="J196" s="58">
        <f t="shared" si="17"/>
        <v>0.2343195472963589</v>
      </c>
      <c r="K196" s="58">
        <f t="shared" si="18"/>
        <v>1.0427836549639751</v>
      </c>
      <c r="L196" s="58">
        <f t="shared" si="19"/>
        <v>2.9718549758660568</v>
      </c>
      <c r="M196" s="2">
        <f t="shared" si="20"/>
        <v>54.400000000000205</v>
      </c>
      <c r="N196" s="58">
        <f t="shared" si="16"/>
        <v>8.3823529411764</v>
      </c>
    </row>
    <row r="197" spans="9:14" ht="15" customHeight="1">
      <c r="I197" s="7"/>
      <c r="J197" s="58">
        <f t="shared" si="17"/>
        <v>0.23704486279428577</v>
      </c>
      <c r="K197" s="58">
        <f t="shared" si="18"/>
        <v>1.0491581002910859</v>
      </c>
      <c r="L197" s="58">
        <f t="shared" si="19"/>
        <v>2.9831875343723024</v>
      </c>
      <c r="M197" s="2">
        <f t="shared" si="20"/>
        <v>54.500000000000206</v>
      </c>
      <c r="N197" s="58">
        <f t="shared" si="16"/>
        <v>8.3486238532109383</v>
      </c>
    </row>
    <row r="198" spans="9:14">
      <c r="I198" s="7"/>
      <c r="J198" s="58">
        <f t="shared" si="17"/>
        <v>0.23978422925478815</v>
      </c>
      <c r="K198" s="58">
        <f t="shared" si="18"/>
        <v>1.0555456987896235</v>
      </c>
      <c r="L198" s="58">
        <f t="shared" si="19"/>
        <v>2.9945250957700069</v>
      </c>
      <c r="M198" s="2">
        <f t="shared" si="20"/>
        <v>54.600000000000207</v>
      </c>
      <c r="N198" s="58">
        <f t="shared" si="16"/>
        <v>8.3150183150182464</v>
      </c>
    </row>
    <row r="199" spans="9:14">
      <c r="I199" s="7"/>
      <c r="J199" s="58">
        <f t="shared" si="17"/>
        <v>0.24253763389361371</v>
      </c>
      <c r="K199" s="58">
        <f t="shared" si="18"/>
        <v>1.061946425638163</v>
      </c>
      <c r="L199" s="58">
        <f t="shared" si="19"/>
        <v>3.0058676263379329</v>
      </c>
      <c r="M199" s="2">
        <f t="shared" si="20"/>
        <v>54.700000000000209</v>
      </c>
      <c r="N199" s="58">
        <f t="shared" si="16"/>
        <v>8.2815356489944456</v>
      </c>
    </row>
    <row r="200" spans="9:14">
      <c r="I200" s="7"/>
      <c r="J200" s="58">
        <f t="shared" si="17"/>
        <v>0.24530506424924248</v>
      </c>
      <c r="K200" s="58">
        <f t="shared" si="18"/>
        <v>1.0683602562782708</v>
      </c>
      <c r="L200" s="58">
        <f t="shared" si="19"/>
        <v>3.0172150926021111</v>
      </c>
      <c r="M200" s="2">
        <f t="shared" si="20"/>
        <v>54.80000000000021</v>
      </c>
      <c r="N200" s="58">
        <f t="shared" si="16"/>
        <v>8.2481751824816811</v>
      </c>
    </row>
    <row r="201" spans="9:14">
      <c r="I201" s="7"/>
      <c r="J201" s="58">
        <f t="shared" si="17"/>
        <v>0.24808650818097311</v>
      </c>
      <c r="K201" s="58">
        <f t="shared" si="18"/>
        <v>1.0747871664122888</v>
      </c>
      <c r="L201" s="58">
        <f t="shared" si="19"/>
        <v>3.0285674613335942</v>
      </c>
      <c r="M201" s="2">
        <f t="shared" si="20"/>
        <v>54.900000000000212</v>
      </c>
      <c r="N201" s="58">
        <f t="shared" si="16"/>
        <v>8.2149362477230632</v>
      </c>
    </row>
    <row r="202" spans="9:14" ht="14.25" customHeight="1">
      <c r="I202" s="7"/>
      <c r="J202" s="58">
        <f t="shared" si="17"/>
        <v>0.25088195386703449</v>
      </c>
      <c r="K202" s="58">
        <f t="shared" si="18"/>
        <v>1.0812271320011395</v>
      </c>
      <c r="L202" s="58">
        <f t="shared" si="19"/>
        <v>3.0399246995462259</v>
      </c>
      <c r="M202" s="2">
        <f t="shared" si="20"/>
        <v>55.000000000000213</v>
      </c>
      <c r="N202" s="58">
        <f t="shared" si="16"/>
        <v>8.1818181818181124</v>
      </c>
    </row>
    <row r="203" spans="9:14" ht="14.25" customHeight="1">
      <c r="I203" s="7"/>
      <c r="J203" s="58">
        <f t="shared" si="17"/>
        <v>0.25369138980272232</v>
      </c>
      <c r="K203" s="58">
        <f t="shared" si="18"/>
        <v>1.0876801292621563</v>
      </c>
      <c r="L203" s="58">
        <f t="shared" si="19"/>
        <v>3.0512867744944394</v>
      </c>
      <c r="M203" s="2">
        <f t="shared" si="20"/>
        <v>55.100000000000215</v>
      </c>
      <c r="N203" s="58">
        <f t="shared" si="16"/>
        <v>8.1488203266786954</v>
      </c>
    </row>
    <row r="204" spans="9:14" ht="14.25" customHeight="1">
      <c r="I204" s="7"/>
      <c r="J204" s="58">
        <f t="shared" si="17"/>
        <v>0.25651480479856381</v>
      </c>
      <c r="K204" s="58">
        <f t="shared" si="18"/>
        <v>1.0941461346669394</v>
      </c>
      <c r="L204" s="58">
        <f t="shared" si="19"/>
        <v>3.0626536536710773</v>
      </c>
      <c r="M204" s="2">
        <f t="shared" si="20"/>
        <v>55.200000000000216</v>
      </c>
      <c r="N204" s="58">
        <f t="shared" si="16"/>
        <v>8.1159420289854367</v>
      </c>
    </row>
    <row r="205" spans="9:14" ht="14.25" customHeight="1">
      <c r="I205" s="7"/>
      <c r="J205" s="58">
        <f t="shared" si="17"/>
        <v>0.25935218797850546</v>
      </c>
      <c r="K205" s="58">
        <f t="shared" si="18"/>
        <v>1.1006251249392331</v>
      </c>
      <c r="L205" s="58">
        <f t="shared" si="19"/>
        <v>3.0740253048052328</v>
      </c>
      <c r="M205" s="2">
        <f t="shared" si="20"/>
        <v>55.300000000000217</v>
      </c>
      <c r="N205" s="58">
        <f t="shared" si="16"/>
        <v>8.0831826401445959</v>
      </c>
    </row>
    <row r="206" spans="9:14" ht="14.25" customHeight="1">
      <c r="I206" s="7"/>
      <c r="J206" s="58">
        <f t="shared" si="17"/>
        <v>0.26220352877812836</v>
      </c>
      <c r="K206" s="58">
        <f t="shared" si="18"/>
        <v>1.1071170770528291</v>
      </c>
      <c r="L206" s="58">
        <f t="shared" si="19"/>
        <v>3.0854016958601234</v>
      </c>
      <c r="M206" s="2">
        <f t="shared" si="20"/>
        <v>55.400000000000219</v>
      </c>
      <c r="N206" s="58">
        <f t="shared" si="16"/>
        <v>8.050541516245417</v>
      </c>
    </row>
    <row r="207" spans="9:14" ht="20.25" customHeight="1">
      <c r="I207" s="7"/>
      <c r="J207" s="58">
        <f t="shared" si="17"/>
        <v>0.26506881694288609</v>
      </c>
      <c r="K207" s="58">
        <f t="shared" si="18"/>
        <v>1.1136219682294906</v>
      </c>
      <c r="L207" s="58">
        <f t="shared" si="19"/>
        <v>3.0967827950309741</v>
      </c>
      <c r="M207" s="2">
        <f t="shared" si="20"/>
        <v>55.50000000000022</v>
      </c>
      <c r="N207" s="58">
        <f t="shared" si="16"/>
        <v>8.0180180180179477</v>
      </c>
    </row>
    <row r="208" spans="9:14" ht="14.25" customHeight="1">
      <c r="J208" s="58">
        <f t="shared" si="17"/>
        <v>0.26794804252636956</v>
      </c>
      <c r="K208" s="58">
        <f t="shared" si="18"/>
        <v>1.1201397759369012</v>
      </c>
      <c r="L208" s="58">
        <f t="shared" si="19"/>
        <v>3.1081685707429392</v>
      </c>
      <c r="M208" s="2">
        <f t="shared" si="20"/>
        <v>55.600000000000222</v>
      </c>
      <c r="N208" s="58">
        <f t="shared" si="16"/>
        <v>7.9856115107912942</v>
      </c>
    </row>
    <row r="209" spans="8:14" ht="14.25" customHeight="1">
      <c r="J209" s="58">
        <f t="shared" si="17"/>
        <v>0.27084119588859329</v>
      </c>
      <c r="K209" s="58">
        <f t="shared" si="18"/>
        <v>1.1266704778866317</v>
      </c>
      <c r="L209" s="58">
        <f t="shared" si="19"/>
        <v>3.1195589916490274</v>
      </c>
      <c r="M209" s="2">
        <f t="shared" si="20"/>
        <v>55.700000000000223</v>
      </c>
      <c r="N209" s="58">
        <f t="shared" si="16"/>
        <v>7.9533213644523535</v>
      </c>
    </row>
    <row r="210" spans="8:14" ht="14.25" customHeight="1">
      <c r="J210" s="58">
        <f t="shared" si="17"/>
        <v>0.27374826769431032</v>
      </c>
      <c r="K210" s="58">
        <f t="shared" si="18"/>
        <v>1.1332140520321394</v>
      </c>
      <c r="L210" s="58">
        <f t="shared" si="19"/>
        <v>3.1309540266280722</v>
      </c>
      <c r="M210" s="2">
        <f t="shared" si="20"/>
        <v>55.800000000000225</v>
      </c>
      <c r="N210" s="58">
        <f t="shared" si="16"/>
        <v>7.9211469534049463</v>
      </c>
    </row>
    <row r="211" spans="8:14" ht="14.25" customHeight="1">
      <c r="J211" s="58">
        <f t="shared" si="17"/>
        <v>0.27666924891134559</v>
      </c>
      <c r="K211" s="58">
        <f t="shared" si="18"/>
        <v>1.1397704765667782</v>
      </c>
      <c r="L211" s="58">
        <f t="shared" si="19"/>
        <v>3.1423536447827014</v>
      </c>
      <c r="M211" s="2">
        <f t="shared" si="20"/>
        <v>55.900000000000226</v>
      </c>
      <c r="N211" s="58">
        <f t="shared" si="16"/>
        <v>7.8890876565294441</v>
      </c>
    </row>
    <row r="212" spans="8:14" ht="14.25" customHeight="1">
      <c r="J212" s="58">
        <f t="shared" si="17"/>
        <v>0.27960413080895691</v>
      </c>
      <c r="K212" s="58">
        <f t="shared" si="18"/>
        <v>1.1463397299218345</v>
      </c>
      <c r="L212" s="58">
        <f t="shared" si="19"/>
        <v>3.1537578154373422</v>
      </c>
      <c r="M212" s="2">
        <f t="shared" si="20"/>
        <v>56.000000000000227</v>
      </c>
      <c r="N212" s="58">
        <f t="shared" si="16"/>
        <v>7.857142857142783</v>
      </c>
    </row>
    <row r="213" spans="8:14" ht="14.25" customHeight="1">
      <c r="J213" s="58">
        <f t="shared" si="17"/>
        <v>0.28255290495621727</v>
      </c>
      <c r="K213" s="58">
        <f t="shared" si="18"/>
        <v>1.152921790764589</v>
      </c>
      <c r="L213" s="58">
        <f t="shared" si="19"/>
        <v>3.1651665081362461</v>
      </c>
      <c r="M213" s="2">
        <f t="shared" si="20"/>
        <v>56.100000000000229</v>
      </c>
      <c r="N213" s="58">
        <f t="shared" si="16"/>
        <v>7.8253119429589297</v>
      </c>
    </row>
    <row r="214" spans="8:14" ht="14.25" customHeight="1">
      <c r="J214" s="58">
        <f t="shared" si="17"/>
        <v>0.28551556322042204</v>
      </c>
      <c r="K214" s="58">
        <f t="shared" si="18"/>
        <v>1.1595166379963946</v>
      </c>
      <c r="L214" s="58">
        <f t="shared" si="19"/>
        <v>3.1765796926415328</v>
      </c>
      <c r="M214" s="2">
        <f t="shared" si="20"/>
        <v>56.20000000000023</v>
      </c>
      <c r="N214" s="58">
        <f t="shared" si="16"/>
        <v>7.7935943060497479</v>
      </c>
    </row>
    <row r="215" spans="8:14" ht="14.25" customHeight="1">
      <c r="H215" s="2"/>
      <c r="J215" s="58">
        <f t="shared" si="17"/>
        <v>0.28849209776551554</v>
      </c>
      <c r="K215" s="58">
        <f t="shared" si="18"/>
        <v>1.1661242507507721</v>
      </c>
      <c r="L215" s="58">
        <f t="shared" si="19"/>
        <v>3.1879973389312508</v>
      </c>
      <c r="M215" s="2">
        <f t="shared" si="20"/>
        <v>56.300000000000232</v>
      </c>
      <c r="N215" s="58">
        <f t="shared" si="16"/>
        <v>7.76198934280632</v>
      </c>
    </row>
    <row r="216" spans="8:14">
      <c r="H216" s="2"/>
      <c r="J216" s="58">
        <f t="shared" si="17"/>
        <v>0.29148250105054441</v>
      </c>
      <c r="K216" s="58">
        <f t="shared" si="18"/>
        <v>1.1727446083915376</v>
      </c>
      <c r="L216" s="58">
        <f t="shared" si="19"/>
        <v>3.1994194171974666</v>
      </c>
      <c r="M216" s="2">
        <f t="shared" si="20"/>
        <v>56.400000000000233</v>
      </c>
      <c r="N216" s="58">
        <f t="shared" si="16"/>
        <v>7.7304964539006349</v>
      </c>
    </row>
    <row r="217" spans="8:14">
      <c r="H217" s="2"/>
      <c r="J217" s="58">
        <f t="shared" si="17"/>
        <v>0.29448676582812999</v>
      </c>
      <c r="K217" s="58">
        <f t="shared" si="18"/>
        <v>1.1793776905109397</v>
      </c>
      <c r="L217" s="58">
        <f t="shared" si="19"/>
        <v>3.2108458978443699</v>
      </c>
      <c r="M217" s="2">
        <f t="shared" si="20"/>
        <v>56.500000000000234</v>
      </c>
      <c r="N217" s="58">
        <f t="shared" si="16"/>
        <v>7.6991150442477156</v>
      </c>
    </row>
    <row r="218" spans="8:14">
      <c r="H218" s="2"/>
      <c r="J218" s="58">
        <f t="shared" si="17"/>
        <v>0.2975048851429658</v>
      </c>
      <c r="K218" s="58">
        <f t="shared" si="18"/>
        <v>1.1860234769278246</v>
      </c>
      <c r="L218" s="58">
        <f t="shared" si="19"/>
        <v>3.2222767514864015</v>
      </c>
      <c r="M218" s="2">
        <f t="shared" si="20"/>
        <v>56.600000000000236</v>
      </c>
      <c r="N218" s="58">
        <f t="shared" si="16"/>
        <v>7.6678445229681245</v>
      </c>
    </row>
    <row r="219" spans="8:14">
      <c r="H219" s="2"/>
      <c r="J219" s="58">
        <f t="shared" si="17"/>
        <v>0.30053685233033223</v>
      </c>
      <c r="K219" s="58">
        <f t="shared" si="18"/>
        <v>1.1926819476858102</v>
      </c>
      <c r="L219" s="58">
        <f t="shared" si="19"/>
        <v>3.2337119489463921</v>
      </c>
      <c r="M219" s="2">
        <f t="shared" si="20"/>
        <v>56.700000000000237</v>
      </c>
      <c r="N219" s="58">
        <f t="shared" si="16"/>
        <v>7.6366843033508971</v>
      </c>
    </row>
    <row r="220" spans="8:14">
      <c r="H220" s="2"/>
      <c r="J220" s="58">
        <f t="shared" si="17"/>
        <v>0.30358266101463871</v>
      </c>
      <c r="K220" s="58">
        <f t="shared" si="18"/>
        <v>1.1993530830514949</v>
      </c>
      <c r="L220" s="58">
        <f t="shared" si="19"/>
        <v>3.2451514612537364</v>
      </c>
      <c r="M220" s="2">
        <f t="shared" si="20"/>
        <v>56.800000000000239</v>
      </c>
      <c r="N220" s="58">
        <f t="shared" si="16"/>
        <v>7.6056338028168291</v>
      </c>
    </row>
    <row r="221" spans="8:14">
      <c r="H221" s="2"/>
      <c r="J221" s="58">
        <f t="shared" si="17"/>
        <v>0.30664230510798268</v>
      </c>
      <c r="K221" s="58">
        <f t="shared" si="18"/>
        <v>1.2060368635126746</v>
      </c>
      <c r="L221" s="58">
        <f t="shared" si="19"/>
        <v>3.2565952596425713</v>
      </c>
      <c r="M221" s="2">
        <f t="shared" si="20"/>
        <v>56.90000000000024</v>
      </c>
      <c r="N221" s="58">
        <f t="shared" si="16"/>
        <v>7.5746924428821742</v>
      </c>
    </row>
    <row r="222" spans="8:14">
      <c r="H222" s="2"/>
      <c r="J222" s="58">
        <f t="shared" si="17"/>
        <v>0.3097157788087313</v>
      </c>
      <c r="K222" s="58">
        <f t="shared" si="18"/>
        <v>1.2127332697765811</v>
      </c>
      <c r="L222" s="58">
        <f t="shared" si="19"/>
        <v>3.2680433155499813</v>
      </c>
      <c r="M222" s="2">
        <f t="shared" si="20"/>
        <v>57.000000000000242</v>
      </c>
      <c r="N222" s="58">
        <f t="shared" si="16"/>
        <v>7.5438596491227337</v>
      </c>
    </row>
    <row r="223" spans="8:14">
      <c r="H223" s="2"/>
      <c r="J223" s="58">
        <f t="shared" si="17"/>
        <v>0.3128030766001258</v>
      </c>
      <c r="K223" s="58">
        <f t="shared" si="18"/>
        <v>1.2194422827681448</v>
      </c>
      <c r="L223" s="58">
        <f t="shared" si="19"/>
        <v>3.2794956006142248</v>
      </c>
      <c r="M223" s="2">
        <f t="shared" si="20"/>
        <v>57.100000000000243</v>
      </c>
      <c r="N223" s="58">
        <f t="shared" si="16"/>
        <v>7.5131348511382789</v>
      </c>
    </row>
    <row r="224" spans="8:14">
      <c r="H224" s="2"/>
      <c r="J224" s="58">
        <f t="shared" si="17"/>
        <v>0.31590419324890234</v>
      </c>
      <c r="K224" s="58">
        <f t="shared" si="18"/>
        <v>1.2261638836282662</v>
      </c>
      <c r="L224" s="58">
        <f t="shared" si="19"/>
        <v>3.2909520866729687</v>
      </c>
      <c r="M224" s="2">
        <f t="shared" si="20"/>
        <v>57.200000000000244</v>
      </c>
      <c r="N224" s="58">
        <f t="shared" si="16"/>
        <v>7.4825174825174088</v>
      </c>
    </row>
    <row r="225" spans="8:14">
      <c r="H225" s="2"/>
      <c r="J225" s="58">
        <f t="shared" si="17"/>
        <v>0.31901912380393876</v>
      </c>
      <c r="K225" s="58">
        <f t="shared" si="18"/>
        <v>1.2328980537121179</v>
      </c>
      <c r="L225" s="58">
        <f t="shared" si="19"/>
        <v>3.3024127457615542</v>
      </c>
      <c r="M225" s="2">
        <f t="shared" si="20"/>
        <v>57.300000000000246</v>
      </c>
      <c r="N225" s="58">
        <f t="shared" si="16"/>
        <v>7.4520069808027181</v>
      </c>
    </row>
    <row r="226" spans="8:14">
      <c r="H226" s="2"/>
      <c r="J226" s="58">
        <f t="shared" si="17"/>
        <v>0.32214786359491654</v>
      </c>
      <c r="K226" s="58">
        <f t="shared" si="18"/>
        <v>1.239644774587455</v>
      </c>
      <c r="L226" s="58">
        <f t="shared" si="19"/>
        <v>3.3138775501112709</v>
      </c>
      <c r="M226" s="2">
        <f t="shared" si="20"/>
        <v>57.400000000000247</v>
      </c>
      <c r="N226" s="58">
        <f t="shared" si="16"/>
        <v>7.4216027874563721</v>
      </c>
    </row>
    <row r="227" spans="8:14">
      <c r="H227" s="2"/>
      <c r="J227" s="58">
        <f t="shared" si="17"/>
        <v>0.32529040823100686</v>
      </c>
      <c r="K227" s="58">
        <f t="shared" si="18"/>
        <v>1.2464040280329487</v>
      </c>
      <c r="L227" s="58">
        <f t="shared" si="19"/>
        <v>3.3253464721476562</v>
      </c>
      <c r="M227" s="2">
        <f t="shared" si="20"/>
        <v>57.500000000000249</v>
      </c>
      <c r="N227" s="58">
        <f t="shared" si="16"/>
        <v>7.3913043478260114</v>
      </c>
    </row>
    <row r="228" spans="8:14" ht="21.2" customHeight="1">
      <c r="H228" s="2"/>
      <c r="J228" s="58">
        <f t="shared" si="17"/>
        <v>0.32844675359957332</v>
      </c>
      <c r="K228" s="58">
        <f t="shared" si="18"/>
        <v>1.2531757960365346</v>
      </c>
      <c r="L228" s="58">
        <f t="shared" si="19"/>
        <v>3.3368194844888022</v>
      </c>
      <c r="M228" s="2">
        <f t="shared" si="20"/>
        <v>57.60000000000025</v>
      </c>
      <c r="N228" s="58">
        <f t="shared" si="16"/>
        <v>7.3611111111110361</v>
      </c>
    </row>
    <row r="229" spans="8:14" ht="21.2" customHeight="1">
      <c r="J229" s="58">
        <f t="shared" si="17"/>
        <v>0.33161689586489712</v>
      </c>
      <c r="K229" s="58">
        <f t="shared" si="18"/>
        <v>1.2599600607937826</v>
      </c>
      <c r="L229" s="58">
        <f t="shared" si="19"/>
        <v>3.3482965599436958</v>
      </c>
      <c r="M229" s="2">
        <f t="shared" si="20"/>
        <v>57.700000000000252</v>
      </c>
      <c r="N229" s="58">
        <f t="shared" si="16"/>
        <v>7.3310225303292142</v>
      </c>
    </row>
    <row r="230" spans="8:14" ht="21.2" customHeight="1">
      <c r="J230" s="58">
        <f t="shared" si="17"/>
        <v>0.3348008314669198</v>
      </c>
      <c r="K230" s="58">
        <f t="shared" si="18"/>
        <v>1.2667568047062807</v>
      </c>
      <c r="L230" s="58">
        <f t="shared" si="19"/>
        <v>3.3597776715105594</v>
      </c>
      <c r="M230" s="2">
        <f t="shared" si="20"/>
        <v>57.800000000000253</v>
      </c>
      <c r="N230" s="58">
        <f t="shared" si="16"/>
        <v>7.3010380622836628</v>
      </c>
    </row>
    <row r="231" spans="8:14" ht="21.2" customHeight="1">
      <c r="J231" s="58">
        <f t="shared" si="17"/>
        <v>0.33799855712000698</v>
      </c>
      <c r="K231" s="58">
        <f t="shared" si="18"/>
        <v>1.2735660103800401</v>
      </c>
      <c r="L231" s="58">
        <f t="shared" si="19"/>
        <v>3.371262792375223</v>
      </c>
      <c r="M231" s="2">
        <f t="shared" si="20"/>
        <v>57.900000000000254</v>
      </c>
      <c r="N231" s="58">
        <f t="shared" si="16"/>
        <v>7.2711571675301485</v>
      </c>
    </row>
    <row r="232" spans="8:14" ht="14.25" customHeight="1">
      <c r="J232" s="58">
        <f t="shared" si="17"/>
        <v>0.3412100698117283</v>
      </c>
      <c r="K232" s="58">
        <f t="shared" si="18"/>
        <v>1.2803876606239091</v>
      </c>
      <c r="L232" s="58">
        <f t="shared" si="19"/>
        <v>3.3827518959094989</v>
      </c>
      <c r="M232" s="2">
        <f t="shared" si="20"/>
        <v>58.000000000000256</v>
      </c>
      <c r="N232" s="58">
        <f t="shared" si="16"/>
        <v>7.241379310344751</v>
      </c>
    </row>
    <row r="233" spans="8:14">
      <c r="J233" s="58">
        <f t="shared" si="17"/>
        <v>0.34443536680165937</v>
      </c>
      <c r="K233" s="58">
        <f t="shared" si="18"/>
        <v>1.2872217384480131</v>
      </c>
      <c r="L233" s="58">
        <f t="shared" si="19"/>
        <v>3.3942449556695888</v>
      </c>
      <c r="M233" s="2">
        <f t="shared" si="20"/>
        <v>58.100000000000257</v>
      </c>
      <c r="N233" s="58">
        <f t="shared" si="16"/>
        <v>7.2117039586918352</v>
      </c>
    </row>
    <row r="234" spans="8:14">
      <c r="J234" s="58">
        <f t="shared" si="17"/>
        <v>0.34767444562020189</v>
      </c>
      <c r="K234" s="58">
        <f t="shared" si="18"/>
        <v>1.2940682270622075</v>
      </c>
      <c r="L234" s="58">
        <f t="shared" si="19"/>
        <v>3.4057419453944946</v>
      </c>
      <c r="M234" s="2">
        <f t="shared" si="20"/>
        <v>58.200000000000259</v>
      </c>
      <c r="N234" s="58">
        <f t="shared" si="16"/>
        <v>7.1821305841923646</v>
      </c>
    </row>
    <row r="235" spans="8:14" ht="12.75" customHeight="1">
      <c r="J235" s="58">
        <f t="shared" si="17"/>
        <v>0.35092730406742029</v>
      </c>
      <c r="K235" s="58">
        <f t="shared" si="18"/>
        <v>1.3009271098745463</v>
      </c>
      <c r="L235" s="58">
        <f t="shared" si="19"/>
        <v>3.4172428390044542</v>
      </c>
      <c r="M235" s="2">
        <f t="shared" si="20"/>
        <v>58.30000000000026</v>
      </c>
      <c r="N235" s="58">
        <f t="shared" si="16"/>
        <v>7.1526586620925485</v>
      </c>
    </row>
    <row r="236" spans="8:14" ht="12.75" customHeight="1">
      <c r="J236" s="58">
        <f t="shared" si="17"/>
        <v>0.35419394021189898</v>
      </c>
      <c r="K236" s="58">
        <f t="shared" si="18"/>
        <v>1.3077983704897669</v>
      </c>
      <c r="L236" s="58">
        <f t="shared" si="19"/>
        <v>3.4287476105993853</v>
      </c>
      <c r="M236" s="2">
        <f t="shared" si="20"/>
        <v>58.400000000000261</v>
      </c>
      <c r="N236" s="58">
        <f t="shared" si="16"/>
        <v>7.1232876712327986</v>
      </c>
    </row>
    <row r="237" spans="8:14" ht="12.75" customHeight="1">
      <c r="J237" s="58">
        <f t="shared" si="17"/>
        <v>0.35747435238961556</v>
      </c>
      <c r="K237" s="58">
        <f t="shared" si="18"/>
        <v>1.3146819927077895</v>
      </c>
      <c r="L237" s="58">
        <f t="shared" si="19"/>
        <v>3.4402562344573493</v>
      </c>
      <c r="M237" s="2">
        <f t="shared" si="20"/>
        <v>58.500000000000263</v>
      </c>
      <c r="N237" s="58">
        <f t="shared" si="16"/>
        <v>7.0940170940170155</v>
      </c>
    </row>
    <row r="238" spans="8:14">
      <c r="J238" s="58">
        <f t="shared" si="17"/>
        <v>0.3607685392028353</v>
      </c>
      <c r="K238" s="58">
        <f t="shared" si="18"/>
        <v>1.3215779605222389</v>
      </c>
      <c r="L238" s="58">
        <f t="shared" si="19"/>
        <v>3.4517686850330356</v>
      </c>
      <c r="M238" s="2">
        <f t="shared" si="20"/>
        <v>58.600000000000264</v>
      </c>
      <c r="N238" s="58">
        <f t="shared" si="16"/>
        <v>7.0648464163821743</v>
      </c>
    </row>
    <row r="239" spans="8:14">
      <c r="J239" s="58">
        <f t="shared" si="17"/>
        <v>0.36407649951902032</v>
      </c>
      <c r="K239" s="58">
        <f t="shared" si="18"/>
        <v>1.3284862581189731</v>
      </c>
      <c r="L239" s="58">
        <f t="shared" si="19"/>
        <v>3.4632849369562551</v>
      </c>
      <c r="M239" s="2">
        <f t="shared" si="20"/>
        <v>58.700000000000266</v>
      </c>
      <c r="N239" s="58">
        <f t="shared" si="16"/>
        <v>7.0357751277682361</v>
      </c>
    </row>
    <row r="240" spans="8:14">
      <c r="J240" s="58">
        <f t="shared" si="17"/>
        <v>0.36739823246975806</v>
      </c>
      <c r="K240" s="58">
        <f t="shared" si="18"/>
        <v>1.3354068698746362</v>
      </c>
      <c r="L240" s="58">
        <f t="shared" si="19"/>
        <v>3.4748049650304487</v>
      </c>
      <c r="M240" s="2">
        <f t="shared" si="20"/>
        <v>58.800000000000267</v>
      </c>
      <c r="N240" s="58">
        <f t="shared" si="16"/>
        <v>7.0068027210883592</v>
      </c>
    </row>
    <row r="241" spans="8:14">
      <c r="J241" s="58">
        <f t="shared" si="17"/>
        <v>0.3707337374497065</v>
      </c>
      <c r="K241" s="58">
        <f t="shared" si="18"/>
        <v>1.3423397803552171</v>
      </c>
      <c r="L241" s="58">
        <f t="shared" si="19"/>
        <v>3.4863287442312161</v>
      </c>
      <c r="M241" s="2">
        <f t="shared" si="20"/>
        <v>58.900000000000269</v>
      </c>
      <c r="N241" s="58">
        <f t="shared" si="16"/>
        <v>6.9779286926994146</v>
      </c>
    </row>
    <row r="242" spans="8:14">
      <c r="J242" s="58">
        <f t="shared" si="17"/>
        <v>0.37408301411555711</v>
      </c>
      <c r="K242" s="58">
        <f t="shared" si="18"/>
        <v>1.34928497431463</v>
      </c>
      <c r="L242" s="58">
        <f t="shared" si="19"/>
        <v>3.4978562497048538</v>
      </c>
      <c r="M242" s="2">
        <f t="shared" si="20"/>
        <v>59.00000000000027</v>
      </c>
      <c r="N242" s="58">
        <f t="shared" si="16"/>
        <v>6.9491525423728042</v>
      </c>
    </row>
    <row r="243" spans="8:14">
      <c r="J243" s="58">
        <f t="shared" si="17"/>
        <v>0.37744606238501466</v>
      </c>
      <c r="K243" s="58">
        <f t="shared" si="18"/>
        <v>1.3562424366933084</v>
      </c>
      <c r="L243" s="58">
        <f t="shared" si="19"/>
        <v>3.5093874567669117</v>
      </c>
      <c r="M243" s="2">
        <f t="shared" si="20"/>
        <v>59.100000000000271</v>
      </c>
      <c r="N243" s="58">
        <f t="shared" si="16"/>
        <v>6.9204737732655737</v>
      </c>
    </row>
    <row r="244" spans="8:14">
      <c r="J244" s="58">
        <f t="shared" si="17"/>
        <v>0.38082288243579498</v>
      </c>
      <c r="K244" s="58">
        <f t="shared" si="18"/>
        <v>1.3632121526168135</v>
      </c>
      <c r="L244" s="58">
        <f t="shared" si="19"/>
        <v>3.5209223409007637</v>
      </c>
      <c r="M244" s="2">
        <f t="shared" si="20"/>
        <v>59.200000000000273</v>
      </c>
      <c r="N244" s="58">
        <f t="shared" ref="N244:N307" si="21">IF(M244&gt;0,1000/M244-10,1000)</f>
        <v>6.8918918918918131</v>
      </c>
    </row>
    <row r="245" spans="8:14">
      <c r="J245" s="58">
        <f t="shared" si="17"/>
        <v>0.38421347470463807</v>
      </c>
      <c r="K245" s="58">
        <f t="shared" si="18"/>
        <v>1.3701941073944566</v>
      </c>
      <c r="L245" s="58">
        <f t="shared" si="19"/>
        <v>3.532460877756193</v>
      </c>
      <c r="M245" s="2">
        <f t="shared" si="20"/>
        <v>59.300000000000274</v>
      </c>
      <c r="N245" s="58">
        <f t="shared" si="21"/>
        <v>6.863406408094356</v>
      </c>
    </row>
    <row r="246" spans="8:14">
      <c r="J246" s="58">
        <f t="shared" si="17"/>
        <v>0.38761783988633913</v>
      </c>
      <c r="K246" s="58">
        <f t="shared" si="18"/>
        <v>1.3771882865179361</v>
      </c>
      <c r="L246" s="58">
        <f t="shared" si="19"/>
        <v>3.5440030431479914</v>
      </c>
      <c r="M246" s="2">
        <f t="shared" si="20"/>
        <v>59.400000000000276</v>
      </c>
      <c r="N246" s="58">
        <f t="shared" si="21"/>
        <v>6.8350168350167557</v>
      </c>
    </row>
    <row r="247" spans="8:14">
      <c r="J247" s="58">
        <f t="shared" si="17"/>
        <v>0.39103597893279568</v>
      </c>
      <c r="K247" s="58">
        <f t="shared" si="18"/>
        <v>1.3841946756599899</v>
      </c>
      <c r="L247" s="58">
        <f t="shared" si="19"/>
        <v>3.555548813054568</v>
      </c>
      <c r="M247" s="2">
        <f t="shared" si="20"/>
        <v>59.500000000000277</v>
      </c>
      <c r="N247" s="58">
        <f t="shared" si="21"/>
        <v>6.8067226890755528</v>
      </c>
    </row>
    <row r="248" spans="8:14">
      <c r="H248" s="2"/>
      <c r="J248" s="58">
        <f t="shared" si="17"/>
        <v>0.39446789305207086</v>
      </c>
      <c r="K248" s="58">
        <f t="shared" si="18"/>
        <v>1.3912132606730594</v>
      </c>
      <c r="L248" s="58">
        <f t="shared" si="19"/>
        <v>3.5670981636165848</v>
      </c>
      <c r="M248" s="2">
        <f t="shared" si="20"/>
        <v>59.600000000000279</v>
      </c>
      <c r="N248" s="58">
        <f t="shared" si="21"/>
        <v>6.7785234899328088</v>
      </c>
    </row>
    <row r="249" spans="8:14">
      <c r="H249" s="2"/>
      <c r="J249" s="58">
        <f t="shared" si="17"/>
        <v>0.39791358370747409</v>
      </c>
      <c r="K249" s="58">
        <f t="shared" si="18"/>
        <v>1.3982440275879733</v>
      </c>
      <c r="L249" s="58">
        <f t="shared" si="19"/>
        <v>3.5786510711355914</v>
      </c>
      <c r="M249" s="2">
        <f t="shared" si="20"/>
        <v>59.70000000000028</v>
      </c>
      <c r="N249" s="58">
        <f t="shared" si="21"/>
        <v>6.7504187604689321</v>
      </c>
    </row>
    <row r="250" spans="8:14">
      <c r="H250" s="2"/>
      <c r="J250" s="58">
        <f t="shared" si="17"/>
        <v>0.40137305261665474</v>
      </c>
      <c r="K250" s="58">
        <f t="shared" si="18"/>
        <v>1.4052869626126325</v>
      </c>
      <c r="L250" s="58">
        <f t="shared" si="19"/>
        <v>3.5902075120726766</v>
      </c>
      <c r="M250" s="2">
        <f t="shared" si="20"/>
        <v>59.800000000000281</v>
      </c>
      <c r="N250" s="58">
        <f t="shared" si="21"/>
        <v>6.7224080267557724</v>
      </c>
    </row>
    <row r="251" spans="8:14">
      <c r="H251" s="2"/>
      <c r="J251" s="58">
        <f t="shared" si="17"/>
        <v>0.40484630175071606</v>
      </c>
      <c r="K251" s="58">
        <f t="shared" si="18"/>
        <v>1.4123420521307242</v>
      </c>
      <c r="L251" s="58">
        <f t="shared" si="19"/>
        <v>3.6017674630471421</v>
      </c>
      <c r="M251" s="2">
        <f t="shared" si="20"/>
        <v>59.900000000000283</v>
      </c>
      <c r="N251" s="58">
        <f t="shared" si="21"/>
        <v>6.6944908180299727</v>
      </c>
    </row>
    <row r="252" spans="8:14">
      <c r="H252" s="2"/>
      <c r="J252" s="58">
        <f t="shared" ref="J252:J315" si="22">IF(D$5&gt;0.2*($N252),(D$5-0.2*($N252))^2/(D$5+0.8*($N252)),0)</f>
        <v>0.40833333333334348</v>
      </c>
      <c r="K252" s="58">
        <f t="shared" ref="K252:K315" si="23">IF(E$5&gt;0.2*($N252),(E$5-0.2*($N252))^2/(E$5+0.8*($N252)),0)</f>
        <v>1.4194092827004428</v>
      </c>
      <c r="L252" s="58">
        <f t="shared" ref="L252:L315" si="24">IF(F$5&gt;0.2*($N252),(F$5-0.2*($N252))^2/(F$5+0.8*($N252)),0)</f>
        <v>3.6133309008351908</v>
      </c>
      <c r="M252" s="2">
        <f t="shared" ref="M252:M315" si="25">M251+0.1</f>
        <v>60.000000000000284</v>
      </c>
      <c r="N252" s="58">
        <f t="shared" si="21"/>
        <v>6.6666666666665861</v>
      </c>
    </row>
    <row r="253" spans="8:14">
      <c r="H253" s="2"/>
      <c r="J253" s="58">
        <f t="shared" si="22"/>
        <v>0.41183414983994415</v>
      </c>
      <c r="K253" s="58">
        <f t="shared" si="23"/>
        <v>1.4264886410532129</v>
      </c>
      <c r="L253" s="58">
        <f t="shared" si="24"/>
        <v>3.6248978023685985</v>
      </c>
      <c r="M253" s="2">
        <f t="shared" si="25"/>
        <v>60.100000000000286</v>
      </c>
      <c r="N253" s="58">
        <f t="shared" si="21"/>
        <v>6.6389351081529995</v>
      </c>
    </row>
    <row r="254" spans="8:14">
      <c r="H254" s="2"/>
      <c r="J254" s="58">
        <f t="shared" si="22"/>
        <v>0.41534875399681048</v>
      </c>
      <c r="K254" s="58">
        <f t="shared" si="23"/>
        <v>1.4335801140924516</v>
      </c>
      <c r="L254" s="58">
        <f t="shared" si="24"/>
        <v>3.6364681447334481</v>
      </c>
      <c r="M254" s="2">
        <f t="shared" si="25"/>
        <v>60.200000000000287</v>
      </c>
      <c r="N254" s="58">
        <f t="shared" si="21"/>
        <v>6.6112956810630443</v>
      </c>
    </row>
    <row r="255" spans="8:14">
      <c r="J255" s="58">
        <f t="shared" si="22"/>
        <v>0.41887714878029159</v>
      </c>
      <c r="K255" s="58">
        <f t="shared" si="23"/>
        <v>1.4406836888923151</v>
      </c>
      <c r="L255" s="58">
        <f t="shared" si="24"/>
        <v>3.648041905168832</v>
      </c>
      <c r="M255" s="2">
        <f t="shared" si="25"/>
        <v>60.300000000000288</v>
      </c>
      <c r="N255" s="58">
        <f t="shared" si="21"/>
        <v>6.5837479270314283</v>
      </c>
    </row>
    <row r="256" spans="8:14">
      <c r="J256" s="58">
        <f t="shared" si="22"/>
        <v>0.42241933741598259</v>
      </c>
      <c r="K256" s="58">
        <f t="shared" si="23"/>
        <v>1.4477993526964752</v>
      </c>
      <c r="L256" s="58">
        <f t="shared" si="24"/>
        <v>3.6596190610655905</v>
      </c>
      <c r="M256" s="2">
        <f t="shared" si="25"/>
        <v>60.40000000000029</v>
      </c>
      <c r="N256" s="58">
        <f t="shared" si="21"/>
        <v>6.5562913907283971</v>
      </c>
    </row>
    <row r="257" spans="10:14">
      <c r="J257" s="58">
        <f t="shared" si="22"/>
        <v>0.42597532337793115</v>
      </c>
      <c r="K257" s="58">
        <f t="shared" si="23"/>
        <v>1.4549270929169069</v>
      </c>
      <c r="L257" s="58">
        <f t="shared" si="24"/>
        <v>3.6711995899650605</v>
      </c>
      <c r="M257" s="2">
        <f t="shared" si="25"/>
        <v>60.500000000000291</v>
      </c>
      <c r="N257" s="58">
        <f t="shared" si="21"/>
        <v>6.5289256198346308</v>
      </c>
    </row>
    <row r="258" spans="10:14">
      <c r="J258" s="58">
        <f t="shared" si="22"/>
        <v>0.42954511038785648</v>
      </c>
      <c r="K258" s="58">
        <f t="shared" si="23"/>
        <v>1.462066897132684</v>
      </c>
      <c r="L258" s="58">
        <f t="shared" si="24"/>
        <v>3.6827834695578274</v>
      </c>
      <c r="M258" s="2">
        <f t="shared" si="25"/>
        <v>60.600000000000293</v>
      </c>
      <c r="N258" s="58">
        <f t="shared" si="21"/>
        <v>6.5016501650164216</v>
      </c>
    </row>
    <row r="259" spans="10:14">
      <c r="J259" s="58">
        <f t="shared" si="22"/>
        <v>0.43312870241438239</v>
      </c>
      <c r="K259" s="58">
        <f t="shared" si="23"/>
        <v>1.4692187530887866</v>
      </c>
      <c r="L259" s="58">
        <f t="shared" si="24"/>
        <v>3.6943706776825023</v>
      </c>
      <c r="M259" s="2">
        <f t="shared" si="25"/>
        <v>60.700000000000294</v>
      </c>
      <c r="N259" s="58">
        <f t="shared" si="21"/>
        <v>6.474464579901074</v>
      </c>
    </row>
    <row r="260" spans="10:14">
      <c r="J260" s="58">
        <f t="shared" si="22"/>
        <v>0.43672610367228953</v>
      </c>
      <c r="K260" s="58">
        <f t="shared" si="23"/>
        <v>1.4763826486949292</v>
      </c>
      <c r="L260" s="58">
        <f t="shared" si="24"/>
        <v>3.7059611923245006</v>
      </c>
      <c r="M260" s="2">
        <f t="shared" si="25"/>
        <v>60.800000000000296</v>
      </c>
      <c r="N260" s="58">
        <f t="shared" si="21"/>
        <v>6.4473684210525519</v>
      </c>
    </row>
    <row r="261" spans="10:14">
      <c r="J261" s="58">
        <f t="shared" si="22"/>
        <v>0.44033731862177661</v>
      </c>
      <c r="K261" s="58">
        <f t="shared" si="23"/>
        <v>1.4835585720243873</v>
      </c>
      <c r="L261" s="58">
        <f t="shared" si="24"/>
        <v>3.7175549916148354</v>
      </c>
      <c r="M261" s="2">
        <f t="shared" si="25"/>
        <v>60.900000000000297</v>
      </c>
      <c r="N261" s="58">
        <f t="shared" si="21"/>
        <v>6.4203612479473762</v>
      </c>
    </row>
    <row r="262" spans="10:14">
      <c r="J262" s="58">
        <f t="shared" si="22"/>
        <v>0.44396235196774114</v>
      </c>
      <c r="K262" s="58">
        <f t="shared" si="23"/>
        <v>1.4907465113128517</v>
      </c>
      <c r="L262" s="58">
        <f t="shared" si="24"/>
        <v>3.7291520538289271</v>
      </c>
      <c r="M262" s="2">
        <f t="shared" si="25"/>
        <v>61.000000000000298</v>
      </c>
      <c r="N262" s="58">
        <f t="shared" si="21"/>
        <v>6.3934426229507402</v>
      </c>
    </row>
    <row r="263" spans="10:14">
      <c r="J263" s="58">
        <f t="shared" si="22"/>
        <v>0.44760120865907038</v>
      </c>
      <c r="K263" s="58">
        <f t="shared" si="23"/>
        <v>1.4979464549572798</v>
      </c>
      <c r="L263" s="58">
        <f t="shared" si="24"/>
        <v>3.7407523573854187</v>
      </c>
      <c r="M263" s="2">
        <f t="shared" si="25"/>
        <v>61.1000000000003</v>
      </c>
      <c r="N263" s="58">
        <f t="shared" si="21"/>
        <v>6.3666121112928806</v>
      </c>
    </row>
    <row r="264" spans="10:14">
      <c r="J264" s="58">
        <f t="shared" si="22"/>
        <v>0.45125389388794956</v>
      </c>
      <c r="K264" s="58">
        <f t="shared" si="23"/>
        <v>1.5051583915147679</v>
      </c>
      <c r="L264" s="58">
        <f t="shared" si="24"/>
        <v>3.7523558808450042</v>
      </c>
      <c r="M264" s="2">
        <f t="shared" si="25"/>
        <v>61.200000000000301</v>
      </c>
      <c r="N264" s="58">
        <f t="shared" si="21"/>
        <v>6.3398692810456723</v>
      </c>
    </row>
    <row r="265" spans="10:14">
      <c r="J265" s="58">
        <f t="shared" si="22"/>
        <v>0.45492041308918485</v>
      </c>
      <c r="K265" s="58">
        <f t="shared" si="23"/>
        <v>1.5123823097014362</v>
      </c>
      <c r="L265" s="58">
        <f t="shared" si="24"/>
        <v>3.7639626029092792</v>
      </c>
      <c r="M265" s="2">
        <f t="shared" si="25"/>
        <v>61.300000000000303</v>
      </c>
      <c r="N265" s="58">
        <f t="shared" si="21"/>
        <v>6.3132137030994286</v>
      </c>
    </row>
    <row r="266" spans="10:14">
      <c r="J266" s="58">
        <f t="shared" si="22"/>
        <v>0.4586007719395353</v>
      </c>
      <c r="K266" s="58">
        <f t="shared" si="23"/>
        <v>1.5196181983913144</v>
      </c>
      <c r="L266" s="58">
        <f t="shared" si="24"/>
        <v>3.7755725024195792</v>
      </c>
      <c r="M266" s="2">
        <f t="shared" si="25"/>
        <v>61.400000000000304</v>
      </c>
      <c r="N266" s="58">
        <f t="shared" si="21"/>
        <v>6.2866449511399836</v>
      </c>
    </row>
    <row r="267" spans="10:14">
      <c r="J267" s="58">
        <f t="shared" si="22"/>
        <v>0.46229497635706496</v>
      </c>
      <c r="K267" s="58">
        <f t="shared" si="23"/>
        <v>1.526866046615251</v>
      </c>
      <c r="L267" s="58">
        <f t="shared" si="24"/>
        <v>3.7871855583558522</v>
      </c>
      <c r="M267" s="2">
        <f t="shared" si="25"/>
        <v>61.500000000000306</v>
      </c>
      <c r="N267" s="58">
        <f t="shared" si="21"/>
        <v>6.260162601625936</v>
      </c>
    </row>
    <row r="268" spans="10:14">
      <c r="J268" s="58">
        <f t="shared" si="22"/>
        <v>0.46600303250050568</v>
      </c>
      <c r="K268" s="58">
        <f t="shared" si="23"/>
        <v>1.5341258435598275</v>
      </c>
      <c r="L268" s="58">
        <f t="shared" si="24"/>
        <v>3.7988017498355324</v>
      </c>
      <c r="M268" s="2">
        <f t="shared" si="25"/>
        <v>61.600000000000307</v>
      </c>
      <c r="N268" s="58">
        <f t="shared" si="21"/>
        <v>6.2337662337661541</v>
      </c>
    </row>
    <row r="269" spans="10:14">
      <c r="J269" s="58">
        <f t="shared" si="22"/>
        <v>0.4697249467686338</v>
      </c>
      <c r="K269" s="58">
        <f t="shared" si="23"/>
        <v>1.5413975785662848</v>
      </c>
      <c r="L269" s="58">
        <f t="shared" si="24"/>
        <v>3.8104210561124252</v>
      </c>
      <c r="M269" s="2">
        <f t="shared" si="25"/>
        <v>61.700000000000308</v>
      </c>
      <c r="N269" s="58">
        <f t="shared" si="21"/>
        <v>6.2074554294974895</v>
      </c>
    </row>
    <row r="270" spans="10:14">
      <c r="J270" s="58">
        <f t="shared" si="22"/>
        <v>0.47346072579966031</v>
      </c>
      <c r="K270" s="58">
        <f t="shared" si="23"/>
        <v>1.5486812411294582</v>
      </c>
      <c r="L270" s="58">
        <f t="shared" si="24"/>
        <v>3.822043456575603</v>
      </c>
      <c r="M270" s="2">
        <f t="shared" si="25"/>
        <v>61.80000000000031</v>
      </c>
      <c r="N270" s="58">
        <f t="shared" si="21"/>
        <v>6.1812297734627037</v>
      </c>
    </row>
    <row r="271" spans="10:14">
      <c r="J271" s="58">
        <f t="shared" si="22"/>
        <v>0.47721037647063635</v>
      </c>
      <c r="K271" s="58">
        <f t="shared" si="23"/>
        <v>1.5559768208967288</v>
      </c>
      <c r="L271" s="58">
        <f t="shared" si="24"/>
        <v>3.8336689307483112</v>
      </c>
      <c r="M271" s="2">
        <f t="shared" si="25"/>
        <v>61.900000000000311</v>
      </c>
      <c r="N271" s="58">
        <f t="shared" si="21"/>
        <v>6.1550888529886087</v>
      </c>
    </row>
    <row r="272" spans="10:14">
      <c r="J272" s="58">
        <f t="shared" si="22"/>
        <v>0.48097390589686823</v>
      </c>
      <c r="K272" s="58">
        <f t="shared" si="23"/>
        <v>1.563284307666978</v>
      </c>
      <c r="L272" s="58">
        <f t="shared" si="24"/>
        <v>3.8452974582868857</v>
      </c>
      <c r="M272" s="2">
        <f t="shared" si="25"/>
        <v>62.000000000000313</v>
      </c>
      <c r="N272" s="58">
        <f t="shared" si="21"/>
        <v>6.1290322580644343</v>
      </c>
    </row>
    <row r="273" spans="10:14">
      <c r="J273" s="58">
        <f t="shared" si="22"/>
        <v>0.48475132143135152</v>
      </c>
      <c r="K273" s="58">
        <f t="shared" si="23"/>
        <v>1.5706036913895616</v>
      </c>
      <c r="L273" s="58">
        <f t="shared" si="24"/>
        <v>3.8569290189796885</v>
      </c>
      <c r="M273" s="2">
        <f t="shared" si="25"/>
        <v>62.100000000000314</v>
      </c>
      <c r="N273" s="58">
        <f t="shared" si="21"/>
        <v>6.1030595813203696</v>
      </c>
    </row>
    <row r="274" spans="10:14">
      <c r="J274" s="58">
        <f t="shared" si="22"/>
        <v>0.48854263066421355</v>
      </c>
      <c r="K274" s="58">
        <f t="shared" si="23"/>
        <v>1.5779349621632874</v>
      </c>
      <c r="L274" s="58">
        <f t="shared" si="24"/>
        <v>3.8685635927460367</v>
      </c>
      <c r="M274" s="2">
        <f t="shared" si="25"/>
        <v>62.200000000000315</v>
      </c>
      <c r="N274" s="58">
        <f t="shared" si="21"/>
        <v>6.0771704180063502</v>
      </c>
    </row>
    <row r="275" spans="10:14">
      <c r="J275" s="58">
        <f t="shared" si="22"/>
        <v>0.49234784142217014</v>
      </c>
      <c r="K275" s="58">
        <f t="shared" si="23"/>
        <v>1.5852781102354032</v>
      </c>
      <c r="L275" s="58">
        <f t="shared" si="24"/>
        <v>3.8802011596351553</v>
      </c>
      <c r="M275" s="2">
        <f t="shared" si="25"/>
        <v>62.300000000000317</v>
      </c>
      <c r="N275" s="58">
        <f t="shared" si="21"/>
        <v>6.0513643659710254</v>
      </c>
    </row>
    <row r="276" spans="10:14">
      <c r="J276" s="58">
        <f t="shared" si="22"/>
        <v>0.49616696176799691</v>
      </c>
      <c r="K276" s="58">
        <f t="shared" si="23"/>
        <v>1.5926331260006008</v>
      </c>
      <c r="L276" s="58">
        <f t="shared" si="24"/>
        <v>3.8918416998251359</v>
      </c>
      <c r="M276" s="2">
        <f t="shared" si="25"/>
        <v>62.400000000000318</v>
      </c>
      <c r="N276" s="58">
        <f t="shared" si="21"/>
        <v>6.0256410256409438</v>
      </c>
    </row>
    <row r="277" spans="10:14">
      <c r="J277" s="58">
        <f t="shared" si="22"/>
        <v>0.50000000000001221</v>
      </c>
      <c r="K277" s="58">
        <f t="shared" si="23"/>
        <v>1.600000000000023</v>
      </c>
      <c r="L277" s="58">
        <f t="shared" si="24"/>
        <v>3.903485193621905</v>
      </c>
      <c r="M277" s="2">
        <f t="shared" si="25"/>
        <v>62.50000000000032</v>
      </c>
      <c r="N277" s="58">
        <f t="shared" si="21"/>
        <v>5.9999999999999183</v>
      </c>
    </row>
    <row r="278" spans="10:14">
      <c r="J278" s="58">
        <f t="shared" si="22"/>
        <v>0.50384696465157297</v>
      </c>
      <c r="K278" s="58">
        <f t="shared" si="23"/>
        <v>1.6073787229202883</v>
      </c>
      <c r="L278" s="58">
        <f t="shared" si="24"/>
        <v>3.9151316214582033</v>
      </c>
      <c r="M278" s="2">
        <f t="shared" si="25"/>
        <v>62.600000000000321</v>
      </c>
      <c r="N278" s="58">
        <f t="shared" si="21"/>
        <v>5.9744408945686089</v>
      </c>
    </row>
    <row r="279" spans="10:14">
      <c r="J279" s="58">
        <f t="shared" si="22"/>
        <v>0.5077078644905838</v>
      </c>
      <c r="K279" s="58">
        <f t="shared" si="23"/>
        <v>1.614769285592514</v>
      </c>
      <c r="L279" s="58">
        <f t="shared" si="24"/>
        <v>3.9267809638925759</v>
      </c>
      <c r="M279" s="2">
        <f t="shared" si="25"/>
        <v>62.700000000000323</v>
      </c>
      <c r="N279" s="58">
        <f t="shared" si="21"/>
        <v>5.9489633173842886</v>
      </c>
    </row>
    <row r="280" spans="10:14">
      <c r="J280" s="58">
        <f t="shared" si="22"/>
        <v>0.51158270851901888</v>
      </c>
      <c r="K280" s="58">
        <f t="shared" si="23"/>
        <v>1.6221716789913658</v>
      </c>
      <c r="L280" s="58">
        <f t="shared" si="24"/>
        <v>3.9384332016083676</v>
      </c>
      <c r="M280" s="2">
        <f t="shared" si="25"/>
        <v>62.800000000000324</v>
      </c>
      <c r="N280" s="58">
        <f t="shared" si="21"/>
        <v>5.9235668789808091</v>
      </c>
    </row>
    <row r="281" spans="10:14">
      <c r="J281" s="58">
        <f t="shared" si="22"/>
        <v>0.51547150597245406</v>
      </c>
      <c r="K281" s="58">
        <f t="shared" si="23"/>
        <v>1.6295858942340975</v>
      </c>
      <c r="L281" s="58">
        <f t="shared" si="24"/>
        <v>3.9500883154127298</v>
      </c>
      <c r="M281" s="2">
        <f t="shared" si="25"/>
        <v>62.900000000000325</v>
      </c>
      <c r="N281" s="58">
        <f t="shared" si="21"/>
        <v>5.8982511923687575</v>
      </c>
    </row>
    <row r="282" spans="10:14">
      <c r="J282" s="58">
        <f t="shared" si="22"/>
        <v>0.51937426631961692</v>
      </c>
      <c r="K282" s="58">
        <f t="shared" si="23"/>
        <v>1.6370119225796189</v>
      </c>
      <c r="L282" s="58">
        <f t="shared" si="24"/>
        <v>3.9617462862356412</v>
      </c>
      <c r="M282" s="2">
        <f t="shared" si="25"/>
        <v>63.000000000000327</v>
      </c>
      <c r="N282" s="58">
        <f t="shared" si="21"/>
        <v>5.87301587301579</v>
      </c>
    </row>
    <row r="283" spans="10:14">
      <c r="J283" s="58">
        <f t="shared" si="22"/>
        <v>0.52329099926194234</v>
      </c>
      <c r="K283" s="58">
        <f t="shared" si="23"/>
        <v>1.6444497554275581</v>
      </c>
      <c r="L283" s="58">
        <f t="shared" si="24"/>
        <v>3.9734070951289326</v>
      </c>
      <c r="M283" s="2">
        <f t="shared" si="25"/>
        <v>63.100000000000328</v>
      </c>
      <c r="N283" s="58">
        <f t="shared" si="21"/>
        <v>5.8478605388271756</v>
      </c>
    </row>
    <row r="284" spans="10:14">
      <c r="J284" s="58">
        <f t="shared" si="22"/>
        <v>0.52722171473314627</v>
      </c>
      <c r="K284" s="58">
        <f t="shared" si="23"/>
        <v>1.6518993843173446</v>
      </c>
      <c r="L284" s="58">
        <f t="shared" si="24"/>
        <v>3.9850707232653231</v>
      </c>
      <c r="M284" s="2">
        <f t="shared" si="25"/>
        <v>63.20000000000033</v>
      </c>
      <c r="N284" s="58">
        <f t="shared" si="21"/>
        <v>5.8227848101264996</v>
      </c>
    </row>
    <row r="285" spans="10:14">
      <c r="J285" s="58">
        <f t="shared" si="22"/>
        <v>0.53116642289880811</v>
      </c>
      <c r="K285" s="58">
        <f t="shared" si="23"/>
        <v>1.6593608009272942</v>
      </c>
      <c r="L285" s="58">
        <f t="shared" si="24"/>
        <v>3.9967371519374626</v>
      </c>
      <c r="M285" s="2">
        <f t="shared" si="25"/>
        <v>63.300000000000331</v>
      </c>
      <c r="N285" s="58">
        <f t="shared" si="21"/>
        <v>5.7977883096365677</v>
      </c>
    </row>
    <row r="286" spans="10:14">
      <c r="J286" s="58">
        <f t="shared" si="22"/>
        <v>0.53512513415596574</v>
      </c>
      <c r="K286" s="58">
        <f t="shared" si="23"/>
        <v>1.6668339970737016</v>
      </c>
      <c r="L286" s="58">
        <f t="shared" si="24"/>
        <v>4.0084063625569897</v>
      </c>
      <c r="M286" s="2">
        <f t="shared" si="25"/>
        <v>63.400000000000333</v>
      </c>
      <c r="N286" s="58">
        <f t="shared" si="21"/>
        <v>5.7728706624604857</v>
      </c>
    </row>
    <row r="287" spans="10:14">
      <c r="J287" s="58">
        <f t="shared" si="22"/>
        <v>0.53909785913272656</v>
      </c>
      <c r="K287" s="58">
        <f t="shared" si="23"/>
        <v>1.6743189647099568</v>
      </c>
      <c r="L287" s="58">
        <f t="shared" si="24"/>
        <v>4.0200783366535937</v>
      </c>
      <c r="M287" s="2">
        <f t="shared" si="25"/>
        <v>63.500000000000334</v>
      </c>
      <c r="N287" s="58">
        <f t="shared" si="21"/>
        <v>5.7480314960629091</v>
      </c>
    </row>
    <row r="288" spans="10:14">
      <c r="J288" s="58">
        <f t="shared" si="22"/>
        <v>0.54308460868788322</v>
      </c>
      <c r="K288" s="58">
        <f t="shared" si="23"/>
        <v>1.6818156959256474</v>
      </c>
      <c r="L288" s="58">
        <f t="shared" si="24"/>
        <v>4.0317530558740824</v>
      </c>
      <c r="M288" s="2">
        <f t="shared" si="25"/>
        <v>63.600000000000335</v>
      </c>
      <c r="N288" s="58">
        <f t="shared" si="21"/>
        <v>5.7232704402514898</v>
      </c>
    </row>
    <row r="289" spans="10:14">
      <c r="J289" s="58">
        <f t="shared" si="22"/>
        <v>0.54708539391054745</v>
      </c>
      <c r="K289" s="58">
        <f t="shared" si="23"/>
        <v>1.6893241829456893</v>
      </c>
      <c r="L289" s="58">
        <f t="shared" si="24"/>
        <v>4.043430501981466</v>
      </c>
      <c r="M289" s="2">
        <f t="shared" si="25"/>
        <v>63.700000000000337</v>
      </c>
      <c r="N289" s="58">
        <f t="shared" si="21"/>
        <v>5.698587127158472</v>
      </c>
    </row>
    <row r="290" spans="10:14">
      <c r="J290" s="58">
        <f t="shared" si="22"/>
        <v>0.55110022611979415</v>
      </c>
      <c r="K290" s="58">
        <f t="shared" si="23"/>
        <v>1.696844418129456</v>
      </c>
      <c r="L290" s="58">
        <f t="shared" si="24"/>
        <v>4.0551106568540476</v>
      </c>
      <c r="M290" s="2">
        <f t="shared" si="25"/>
        <v>63.800000000000338</v>
      </c>
      <c r="N290" s="58">
        <f t="shared" si="21"/>
        <v>5.673981191222488</v>
      </c>
    </row>
    <row r="291" spans="10:14">
      <c r="J291" s="58">
        <f t="shared" si="22"/>
        <v>0.55512911686431621</v>
      </c>
      <c r="K291" s="58">
        <f t="shared" si="23"/>
        <v>1.7043763939699212</v>
      </c>
      <c r="L291" s="58">
        <f t="shared" si="24"/>
        <v>4.0667935024845177</v>
      </c>
      <c r="M291" s="2">
        <f t="shared" si="25"/>
        <v>63.90000000000034</v>
      </c>
      <c r="N291" s="58">
        <f t="shared" si="21"/>
        <v>5.6494522691704958</v>
      </c>
    </row>
    <row r="292" spans="10:14">
      <c r="J292" s="58">
        <f t="shared" si="22"/>
        <v>0.559172077922092</v>
      </c>
      <c r="K292" s="58">
        <f t="shared" si="23"/>
        <v>1.7119201030928095</v>
      </c>
      <c r="L292" s="58">
        <f t="shared" si="24"/>
        <v>4.07847902097906</v>
      </c>
      <c r="M292" s="2">
        <f t="shared" si="25"/>
        <v>64.000000000000341</v>
      </c>
      <c r="N292" s="58">
        <f t="shared" si="21"/>
        <v>5.6249999999999165</v>
      </c>
    </row>
    <row r="293" spans="10:14">
      <c r="J293" s="58">
        <f t="shared" si="22"/>
        <v>0.56322912130006209</v>
      </c>
      <c r="K293" s="58">
        <f t="shared" si="23"/>
        <v>1.7194755382557461</v>
      </c>
      <c r="L293" s="58">
        <f t="shared" si="24"/>
        <v>4.0901671945564697</v>
      </c>
      <c r="M293" s="2">
        <f t="shared" si="25"/>
        <v>64.100000000000335</v>
      </c>
      <c r="N293" s="58">
        <f t="shared" si="21"/>
        <v>5.6006240249609167</v>
      </c>
    </row>
    <row r="294" spans="10:14">
      <c r="J294" s="58">
        <f t="shared" si="22"/>
        <v>0.56730025923382466</v>
      </c>
      <c r="K294" s="58">
        <f t="shared" si="23"/>
        <v>1.7270426923474347</v>
      </c>
      <c r="L294" s="58">
        <f t="shared" si="24"/>
        <v>4.1018580055472746</v>
      </c>
      <c r="M294" s="2">
        <f t="shared" si="25"/>
        <v>64.20000000000033</v>
      </c>
      <c r="N294" s="58">
        <f t="shared" si="21"/>
        <v>5.5763239875388599</v>
      </c>
    </row>
    <row r="295" spans="10:14">
      <c r="J295" s="58">
        <f t="shared" si="22"/>
        <v>0.57138550418733125</v>
      </c>
      <c r="K295" s="58">
        <f t="shared" si="23"/>
        <v>1.7346215583868239</v>
      </c>
      <c r="L295" s="58">
        <f t="shared" si="24"/>
        <v>4.1135514363928616</v>
      </c>
      <c r="M295" s="2">
        <f t="shared" si="25"/>
        <v>64.300000000000324</v>
      </c>
      <c r="N295" s="58">
        <f t="shared" si="21"/>
        <v>5.5520995334369356</v>
      </c>
    </row>
    <row r="296" spans="10:14">
      <c r="J296" s="58">
        <f t="shared" si="22"/>
        <v>0.57548486885260475</v>
      </c>
      <c r="K296" s="58">
        <f t="shared" si="23"/>
        <v>1.7422121295222939</v>
      </c>
      <c r="L296" s="58">
        <f t="shared" si="24"/>
        <v>4.1252474696446226</v>
      </c>
      <c r="M296" s="2">
        <f t="shared" si="25"/>
        <v>64.400000000000318</v>
      </c>
      <c r="N296" s="58">
        <f t="shared" si="21"/>
        <v>5.5279503105589303</v>
      </c>
    </row>
    <row r="297" spans="10:14">
      <c r="J297" s="58">
        <f t="shared" si="22"/>
        <v>0.57959836614946225</v>
      </c>
      <c r="K297" s="58">
        <f t="shared" si="23"/>
        <v>1.7498143990308437</v>
      </c>
      <c r="L297" s="58">
        <f t="shared" si="24"/>
        <v>4.1369460879631008</v>
      </c>
      <c r="M297" s="2">
        <f t="shared" si="25"/>
        <v>64.500000000000313</v>
      </c>
      <c r="N297" s="58">
        <f t="shared" si="21"/>
        <v>5.5038759689921726</v>
      </c>
    </row>
    <row r="298" spans="10:14">
      <c r="J298" s="58">
        <f t="shared" si="22"/>
        <v>0.58372600922525064</v>
      </c>
      <c r="K298" s="58">
        <f t="shared" si="23"/>
        <v>1.757428360317294</v>
      </c>
      <c r="L298" s="58">
        <f t="shared" si="24"/>
        <v>4.1486472741171365</v>
      </c>
      <c r="M298" s="2">
        <f t="shared" si="25"/>
        <v>64.600000000000307</v>
      </c>
      <c r="N298" s="58">
        <f t="shared" si="21"/>
        <v>5.4798761609906386</v>
      </c>
    </row>
    <row r="299" spans="10:14">
      <c r="J299" s="58">
        <f t="shared" si="22"/>
        <v>0.58786781145459466</v>
      </c>
      <c r="K299" s="58">
        <f t="shared" si="23"/>
        <v>1.765054006913491</v>
      </c>
      <c r="L299" s="58">
        <f t="shared" si="24"/>
        <v>4.1603510109830451</v>
      </c>
      <c r="M299" s="2">
        <f t="shared" si="25"/>
        <v>64.700000000000301</v>
      </c>
      <c r="N299" s="58">
        <f t="shared" si="21"/>
        <v>5.455950540958197</v>
      </c>
    </row>
    <row r="300" spans="10:14">
      <c r="J300" s="58">
        <f t="shared" si="22"/>
        <v>0.59202378643915643</v>
      </c>
      <c r="K300" s="58">
        <f t="shared" si="23"/>
        <v>1.7726913324775251</v>
      </c>
      <c r="L300" s="58">
        <f t="shared" si="24"/>
        <v>4.1720572815437729</v>
      </c>
      <c r="M300" s="2">
        <f t="shared" si="25"/>
        <v>64.800000000000296</v>
      </c>
      <c r="N300" s="58">
        <f t="shared" si="21"/>
        <v>5.4320987654320287</v>
      </c>
    </row>
    <row r="301" spans="10:14">
      <c r="J301" s="58">
        <f t="shared" si="22"/>
        <v>0.59619394800740277</v>
      </c>
      <c r="K301" s="58">
        <f t="shared" si="23"/>
        <v>1.7803403307929482</v>
      </c>
      <c r="L301" s="58">
        <f t="shared" si="24"/>
        <v>4.1837660688880858</v>
      </c>
      <c r="M301" s="2">
        <f t="shared" si="25"/>
        <v>64.90000000000029</v>
      </c>
      <c r="N301" s="58">
        <f t="shared" si="21"/>
        <v>5.4083204930661868</v>
      </c>
    </row>
    <row r="302" spans="10:14">
      <c r="J302" s="58">
        <f t="shared" si="22"/>
        <v>0.60037831021438781</v>
      </c>
      <c r="K302" s="58">
        <f t="shared" si="23"/>
        <v>1.7880009957680081</v>
      </c>
      <c r="L302" s="58">
        <f t="shared" si="24"/>
        <v>4.1954773562097474</v>
      </c>
      <c r="M302" s="2">
        <f t="shared" si="25"/>
        <v>65.000000000000284</v>
      </c>
      <c r="N302" s="58">
        <f t="shared" si="21"/>
        <v>5.3846153846153175</v>
      </c>
    </row>
    <row r="303" spans="10:14">
      <c r="J303" s="58">
        <f t="shared" si="22"/>
        <v>0.60457688734154336</v>
      </c>
      <c r="K303" s="58">
        <f t="shared" si="23"/>
        <v>1.7956733214348846</v>
      </c>
      <c r="L303" s="58">
        <f t="shared" si="24"/>
        <v>4.2071911268067206</v>
      </c>
      <c r="M303" s="2">
        <f t="shared" si="25"/>
        <v>65.100000000000279</v>
      </c>
      <c r="N303" s="58">
        <f t="shared" si="21"/>
        <v>5.3609831029185209</v>
      </c>
    </row>
    <row r="304" spans="10:14">
      <c r="J304" s="58">
        <f t="shared" si="22"/>
        <v>0.60878969389648263</v>
      </c>
      <c r="K304" s="58">
        <f t="shared" si="23"/>
        <v>1.8033573019489344</v>
      </c>
      <c r="L304" s="58">
        <f t="shared" si="24"/>
        <v>4.2189073640803603</v>
      </c>
      <c r="M304" s="2">
        <f t="shared" si="25"/>
        <v>65.200000000000273</v>
      </c>
      <c r="N304" s="58">
        <f t="shared" si="21"/>
        <v>5.3374233128833719</v>
      </c>
    </row>
    <row r="305" spans="10:14">
      <c r="J305" s="58">
        <f t="shared" si="22"/>
        <v>0.6130167446128143</v>
      </c>
      <c r="K305" s="58">
        <f t="shared" si="23"/>
        <v>1.8110529315879482</v>
      </c>
      <c r="L305" s="58">
        <f t="shared" si="24"/>
        <v>4.2306260515346281</v>
      </c>
      <c r="M305" s="2">
        <f t="shared" si="25"/>
        <v>65.300000000000267</v>
      </c>
      <c r="N305" s="58">
        <f t="shared" si="21"/>
        <v>5.3139356814700758</v>
      </c>
    </row>
    <row r="306" spans="10:14">
      <c r="J306" s="58">
        <f t="shared" si="22"/>
        <v>0.61725805444996495</v>
      </c>
      <c r="K306" s="58">
        <f t="shared" si="23"/>
        <v>1.8187602047514031</v>
      </c>
      <c r="L306" s="58">
        <f t="shared" si="24"/>
        <v>4.2423471727753022</v>
      </c>
      <c r="M306" s="2">
        <f t="shared" si="25"/>
        <v>65.400000000000261</v>
      </c>
      <c r="N306" s="58">
        <f t="shared" si="21"/>
        <v>5.2905198776757807</v>
      </c>
    </row>
    <row r="307" spans="10:14">
      <c r="J307" s="58">
        <f t="shared" si="22"/>
        <v>0.62151363859301623</v>
      </c>
      <c r="K307" s="58">
        <f t="shared" si="23"/>
        <v>1.8264791159597398</v>
      </c>
      <c r="L307" s="58">
        <f t="shared" si="24"/>
        <v>4.2540707115092022</v>
      </c>
      <c r="M307" s="2">
        <f t="shared" si="25"/>
        <v>65.500000000000256</v>
      </c>
      <c r="N307" s="58">
        <f t="shared" si="21"/>
        <v>5.2671755725190241</v>
      </c>
    </row>
    <row r="308" spans="10:14">
      <c r="J308" s="58">
        <f t="shared" si="22"/>
        <v>0.62578351245254948</v>
      </c>
      <c r="K308" s="58">
        <f t="shared" si="23"/>
        <v>1.8342096598536273</v>
      </c>
      <c r="L308" s="58">
        <f t="shared" si="24"/>
        <v>4.2657966515434218</v>
      </c>
      <c r="M308" s="2">
        <f t="shared" si="25"/>
        <v>65.60000000000025</v>
      </c>
      <c r="N308" s="58">
        <f t="shared" ref="N308:N371" si="26">IF(M308&gt;0,1000/M308-10,1000)</f>
        <v>5.2439024390243318</v>
      </c>
    </row>
    <row r="309" spans="10:14">
      <c r="J309" s="58">
        <f t="shared" si="22"/>
        <v>0.63006769166450394</v>
      </c>
      <c r="K309" s="58">
        <f t="shared" si="23"/>
        <v>1.8419518311932526</v>
      </c>
      <c r="L309" s="58">
        <f t="shared" si="24"/>
        <v>4.2775249767845596</v>
      </c>
      <c r="M309" s="2">
        <f t="shared" si="25"/>
        <v>65.700000000000244</v>
      </c>
      <c r="N309" s="58">
        <f t="shared" si="26"/>
        <v>5.2207001522069447</v>
      </c>
    </row>
    <row r="310" spans="10:14">
      <c r="J310" s="58">
        <f t="shared" si="22"/>
        <v>0.63436619209004286</v>
      </c>
      <c r="K310" s="58">
        <f t="shared" si="23"/>
        <v>1.8497056248576096</v>
      </c>
      <c r="L310" s="58">
        <f t="shared" si="24"/>
        <v>4.2892556712379664</v>
      </c>
      <c r="M310" s="2">
        <f t="shared" si="25"/>
        <v>65.800000000000239</v>
      </c>
      <c r="N310" s="58">
        <f t="shared" si="26"/>
        <v>5.1975683890576949</v>
      </c>
    </row>
    <row r="311" spans="10:14">
      <c r="J311" s="58">
        <f t="shared" si="22"/>
        <v>0.63867902981543123</v>
      </c>
      <c r="K311" s="58">
        <f t="shared" si="23"/>
        <v>1.8574710358437869</v>
      </c>
      <c r="L311" s="58">
        <f t="shared" si="24"/>
        <v>4.3009887190069964</v>
      </c>
      <c r="M311" s="2">
        <f t="shared" si="25"/>
        <v>65.900000000000233</v>
      </c>
      <c r="N311" s="58">
        <f t="shared" si="26"/>
        <v>5.1745068285280187</v>
      </c>
    </row>
    <row r="312" spans="10:14">
      <c r="J312" s="58">
        <f t="shared" si="22"/>
        <v>0.64300622115192652</v>
      </c>
      <c r="K312" s="58">
        <f t="shared" si="23"/>
        <v>1.8652480592662826</v>
      </c>
      <c r="L312" s="58">
        <f t="shared" si="24"/>
        <v>4.312724104292263</v>
      </c>
      <c r="M312" s="2">
        <f t="shared" si="25"/>
        <v>66.000000000000227</v>
      </c>
      <c r="N312" s="58">
        <f t="shared" si="26"/>
        <v>5.151515151515099</v>
      </c>
    </row>
    <row r="313" spans="10:14">
      <c r="J313" s="58">
        <f t="shared" si="22"/>
        <v>0.64734778263567461</v>
      </c>
      <c r="K313" s="58">
        <f t="shared" si="23"/>
        <v>1.8730366903563049</v>
      </c>
      <c r="L313" s="58">
        <f t="shared" si="24"/>
        <v>4.3244618113909024</v>
      </c>
      <c r="M313" s="2">
        <f t="shared" si="25"/>
        <v>66.100000000000222</v>
      </c>
      <c r="N313" s="58">
        <f t="shared" si="26"/>
        <v>5.1285930408471501</v>
      </c>
    </row>
    <row r="314" spans="10:14">
      <c r="J314" s="58">
        <f t="shared" si="22"/>
        <v>0.65170373102762058</v>
      </c>
      <c r="K314" s="58">
        <f t="shared" si="23"/>
        <v>1.8808369244610914</v>
      </c>
      <c r="L314" s="58">
        <f t="shared" si="24"/>
        <v>4.3362018246958449</v>
      </c>
      <c r="M314" s="2">
        <f t="shared" si="25"/>
        <v>66.200000000000216</v>
      </c>
      <c r="N314" s="58">
        <f t="shared" si="26"/>
        <v>5.1057401812688337</v>
      </c>
    </row>
    <row r="315" spans="10:14">
      <c r="J315" s="58">
        <f t="shared" si="22"/>
        <v>0.65607408331343087</v>
      </c>
      <c r="K315" s="58">
        <f t="shared" si="23"/>
        <v>1.8886487570432389</v>
      </c>
      <c r="L315" s="58">
        <f t="shared" si="24"/>
        <v>4.3479441286950928</v>
      </c>
      <c r="M315" s="2">
        <f t="shared" si="25"/>
        <v>66.30000000000021</v>
      </c>
      <c r="N315" s="58">
        <f t="shared" si="26"/>
        <v>5.0829562594267994</v>
      </c>
    </row>
    <row r="316" spans="10:14">
      <c r="J316" s="58">
        <f t="shared" ref="J316:J379" si="27">IF(D$5&gt;0.2*($N316),(D$5-0.2*($N316))^2/(D$5+0.8*($N316)),0)</f>
        <v>0.66045885670341875</v>
      </c>
      <c r="K316" s="58">
        <f t="shared" ref="K316:K379" si="28">IF(E$5&gt;0.2*($N316),(E$5-0.2*($N316))^2/(E$5+0.8*($N316)),0)</f>
        <v>1.8964721836800207</v>
      </c>
      <c r="L316" s="58">
        <f t="shared" ref="L316:L379" si="29">IF(F$5&gt;0.2*($N316),(F$5-0.2*($N316))^2/(F$5+0.8*($N316)),0)</f>
        <v>4.3596887079710056</v>
      </c>
      <c r="M316" s="2">
        <f t="shared" ref="M316:M379" si="30">M315+0.1</f>
        <v>66.400000000000205</v>
      </c>
      <c r="N316" s="58">
        <f t="shared" si="26"/>
        <v>5.0602409638553745</v>
      </c>
    </row>
    <row r="317" spans="10:14">
      <c r="J317" s="58">
        <f t="shared" si="27"/>
        <v>0.66485806863248853</v>
      </c>
      <c r="K317" s="58">
        <f t="shared" si="28"/>
        <v>1.9043072000627335</v>
      </c>
      <c r="L317" s="58">
        <f t="shared" si="29"/>
        <v>4.371435547199586</v>
      </c>
      <c r="M317" s="2">
        <f t="shared" si="30"/>
        <v>66.500000000000199</v>
      </c>
      <c r="N317" s="58">
        <f t="shared" si="26"/>
        <v>5.0375939849623617</v>
      </c>
    </row>
    <row r="318" spans="10:14">
      <c r="J318" s="58">
        <f t="shared" si="27"/>
        <v>0.66927173676008678</v>
      </c>
      <c r="K318" s="58">
        <f t="shared" si="28"/>
        <v>1.9121538019960396</v>
      </c>
      <c r="L318" s="58">
        <f t="shared" si="29"/>
        <v>4.3831846311497831</v>
      </c>
      <c r="M318" s="2">
        <f t="shared" si="30"/>
        <v>66.600000000000193</v>
      </c>
      <c r="N318" s="58">
        <f t="shared" si="26"/>
        <v>5.0150150150149706</v>
      </c>
    </row>
    <row r="319" spans="10:14">
      <c r="J319" s="58">
        <f t="shared" si="27"/>
        <v>0.67369987897015993</v>
      </c>
      <c r="K319" s="58">
        <f t="shared" si="28"/>
        <v>1.9200119853973103</v>
      </c>
      <c r="L319" s="58">
        <f t="shared" si="29"/>
        <v>4.3949359446827856</v>
      </c>
      <c r="M319" s="2">
        <f t="shared" si="30"/>
        <v>66.700000000000188</v>
      </c>
      <c r="N319" s="58">
        <f t="shared" si="26"/>
        <v>4.9925037481258947</v>
      </c>
    </row>
    <row r="320" spans="10:14">
      <c r="J320" s="58">
        <f t="shared" si="27"/>
        <v>0.67814251337112963</v>
      </c>
      <c r="K320" s="58">
        <f t="shared" si="28"/>
        <v>1.927881746295989</v>
      </c>
      <c r="L320" s="58">
        <f t="shared" si="29"/>
        <v>4.4066894727513439</v>
      </c>
      <c r="M320" s="2">
        <f t="shared" si="30"/>
        <v>66.800000000000182</v>
      </c>
      <c r="N320" s="58">
        <f t="shared" si="26"/>
        <v>4.9700598802394804</v>
      </c>
    </row>
    <row r="321" spans="10:14">
      <c r="J321" s="58">
        <f t="shared" si="27"/>
        <v>0.68259965829587199</v>
      </c>
      <c r="K321" s="58">
        <f t="shared" si="28"/>
        <v>1.9357630808329502</v>
      </c>
      <c r="L321" s="58">
        <f t="shared" si="29"/>
        <v>4.4184452003990762</v>
      </c>
      <c r="M321" s="2">
        <f t="shared" si="30"/>
        <v>66.900000000000176</v>
      </c>
      <c r="N321" s="58">
        <f t="shared" si="26"/>
        <v>4.9476831091180475</v>
      </c>
    </row>
    <row r="322" spans="10:14">
      <c r="J322" s="58">
        <f t="shared" si="27"/>
        <v>0.68707133230171002</v>
      </c>
      <c r="K322" s="58">
        <f t="shared" si="28"/>
        <v>1.9436559852598672</v>
      </c>
      <c r="L322" s="58">
        <f t="shared" si="29"/>
        <v>4.4302031127597941</v>
      </c>
      <c r="M322" s="2">
        <f t="shared" si="30"/>
        <v>67.000000000000171</v>
      </c>
      <c r="N322" s="58">
        <f t="shared" si="26"/>
        <v>4.9253731343283196</v>
      </c>
    </row>
    <row r="323" spans="10:14">
      <c r="J323" s="58">
        <f t="shared" si="27"/>
        <v>0.69155755417041387</v>
      </c>
      <c r="K323" s="58">
        <f t="shared" si="28"/>
        <v>1.9515604559385873</v>
      </c>
      <c r="L323" s="58">
        <f t="shared" si="29"/>
        <v>4.4419631950568252</v>
      </c>
      <c r="M323" s="2">
        <f t="shared" si="30"/>
        <v>67.100000000000165</v>
      </c>
      <c r="N323" s="58">
        <f t="shared" si="26"/>
        <v>4.9031296572279821</v>
      </c>
    </row>
    <row r="324" spans="10:14">
      <c r="J324" s="58">
        <f t="shared" si="27"/>
        <v>0.69605834290821611</v>
      </c>
      <c r="K324" s="58">
        <f t="shared" si="28"/>
        <v>1.9594764893405188</v>
      </c>
      <c r="L324" s="58">
        <f t="shared" si="29"/>
        <v>4.4537254326023561</v>
      </c>
      <c r="M324" s="2">
        <f t="shared" si="30"/>
        <v>67.200000000000159</v>
      </c>
      <c r="N324" s="58">
        <f t="shared" si="26"/>
        <v>4.8809523809523458</v>
      </c>
    </row>
    <row r="325" spans="10:14">
      <c r="J325" s="58">
        <f t="shared" si="27"/>
        <v>0.70057371774582933</v>
      </c>
      <c r="K325" s="58">
        <f t="shared" si="28"/>
        <v>1.9674040820460044</v>
      </c>
      <c r="L325" s="58">
        <f t="shared" si="29"/>
        <v>4.4654898107967647</v>
      </c>
      <c r="M325" s="2">
        <f t="shared" si="30"/>
        <v>67.300000000000153</v>
      </c>
      <c r="N325" s="58">
        <f t="shared" si="26"/>
        <v>4.8588410104011555</v>
      </c>
    </row>
    <row r="326" spans="10:14">
      <c r="J326" s="58">
        <f t="shared" si="27"/>
        <v>0.70510369813848217</v>
      </c>
      <c r="K326" s="58">
        <f t="shared" si="28"/>
        <v>1.9753432307437304</v>
      </c>
      <c r="L326" s="58">
        <f t="shared" si="29"/>
        <v>4.477256315127967</v>
      </c>
      <c r="M326" s="2">
        <f t="shared" si="30"/>
        <v>67.400000000000148</v>
      </c>
      <c r="N326" s="58">
        <f t="shared" si="26"/>
        <v>4.8367952522254871</v>
      </c>
    </row>
    <row r="327" spans="10:14">
      <c r="J327" s="58">
        <f t="shared" si="27"/>
        <v>0.70964830376595756</v>
      </c>
      <c r="K327" s="58">
        <f t="shared" si="28"/>
        <v>1.9832939322301144</v>
      </c>
      <c r="L327" s="58">
        <f t="shared" si="29"/>
        <v>4.4890249311707704</v>
      </c>
      <c r="M327" s="2">
        <f t="shared" si="30"/>
        <v>67.500000000000142</v>
      </c>
      <c r="N327" s="58">
        <f t="shared" si="26"/>
        <v>4.8148148148147829</v>
      </c>
    </row>
    <row r="328" spans="10:14">
      <c r="J328" s="58">
        <f t="shared" si="27"/>
        <v>0.71420755453264639</v>
      </c>
      <c r="K328" s="58">
        <f t="shared" si="28"/>
        <v>1.9912561834087108</v>
      </c>
      <c r="L328" s="58">
        <f t="shared" si="29"/>
        <v>4.5007956445862289</v>
      </c>
      <c r="M328" s="2">
        <f t="shared" si="30"/>
        <v>67.600000000000136</v>
      </c>
      <c r="N328" s="58">
        <f t="shared" si="26"/>
        <v>4.7928994082839935</v>
      </c>
    </row>
    <row r="329" spans="10:14">
      <c r="J329" s="58">
        <f t="shared" si="27"/>
        <v>0.71878147056760933</v>
      </c>
      <c r="K329" s="58">
        <f t="shared" si="28"/>
        <v>1.9992299812896284</v>
      </c>
      <c r="L329" s="58">
        <f t="shared" si="29"/>
        <v>4.5125684411210081</v>
      </c>
      <c r="M329" s="2">
        <f t="shared" si="30"/>
        <v>67.700000000000131</v>
      </c>
      <c r="N329" s="58">
        <f t="shared" si="26"/>
        <v>4.7710487444608276</v>
      </c>
    </row>
    <row r="330" spans="10:14">
      <c r="J330" s="58">
        <f t="shared" si="27"/>
        <v>0.72337007222464822</v>
      </c>
      <c r="K330" s="58">
        <f t="shared" si="28"/>
        <v>2.0072153229889418</v>
      </c>
      <c r="L330" s="58">
        <f t="shared" si="29"/>
        <v>4.5243433066067515</v>
      </c>
      <c r="M330" s="2">
        <f t="shared" si="30"/>
        <v>67.800000000000125</v>
      </c>
      <c r="N330" s="58">
        <f t="shared" si="26"/>
        <v>4.7492625368731289</v>
      </c>
    </row>
    <row r="331" spans="10:14">
      <c r="J331" s="58">
        <f t="shared" si="27"/>
        <v>0.72797338008238643</v>
      </c>
      <c r="K331" s="58">
        <f t="shared" si="28"/>
        <v>2.0152122057281123</v>
      </c>
      <c r="L331" s="58">
        <f t="shared" si="29"/>
        <v>4.5361202269594543</v>
      </c>
      <c r="M331" s="2">
        <f t="shared" si="30"/>
        <v>67.900000000000119</v>
      </c>
      <c r="N331" s="58">
        <f t="shared" si="26"/>
        <v>4.7275405007363513</v>
      </c>
    </row>
    <row r="332" spans="10:14">
      <c r="J332" s="58">
        <f t="shared" si="27"/>
        <v>0.7325914149443612</v>
      </c>
      <c r="K332" s="58">
        <f t="shared" si="28"/>
        <v>2.0232206268334187</v>
      </c>
      <c r="L332" s="58">
        <f t="shared" si="29"/>
        <v>4.5478991881788469</v>
      </c>
      <c r="M332" s="2">
        <f t="shared" si="30"/>
        <v>68.000000000000114</v>
      </c>
      <c r="N332" s="58">
        <f t="shared" si="26"/>
        <v>4.7058823529411526</v>
      </c>
    </row>
    <row r="333" spans="10:14">
      <c r="J333" s="58">
        <f t="shared" si="27"/>
        <v>0.73722419783912541</v>
      </c>
      <c r="K333" s="58">
        <f t="shared" si="28"/>
        <v>2.0312405837353937</v>
      </c>
      <c r="L333" s="58">
        <f t="shared" si="29"/>
        <v>4.5596801763477739</v>
      </c>
      <c r="M333" s="2">
        <f t="shared" si="30"/>
        <v>68.100000000000108</v>
      </c>
      <c r="N333" s="58">
        <f t="shared" si="26"/>
        <v>4.6842878120410933</v>
      </c>
    </row>
    <row r="334" spans="10:14">
      <c r="J334" s="58">
        <f t="shared" si="27"/>
        <v>0.74187175002035599</v>
      </c>
      <c r="K334" s="58">
        <f t="shared" si="28"/>
        <v>2.0392720739682519</v>
      </c>
      <c r="L334" s="58">
        <f t="shared" si="29"/>
        <v>4.5714631776315908</v>
      </c>
      <c r="M334" s="2">
        <f t="shared" si="30"/>
        <v>68.200000000000102</v>
      </c>
      <c r="N334" s="58">
        <f t="shared" si="26"/>
        <v>4.6627565982404473</v>
      </c>
    </row>
    <row r="335" spans="10:14">
      <c r="J335" s="58">
        <f t="shared" si="27"/>
        <v>0.74653409296697648</v>
      </c>
      <c r="K335" s="58">
        <f t="shared" si="28"/>
        <v>2.0473150951693442</v>
      </c>
      <c r="L335" s="58">
        <f t="shared" si="29"/>
        <v>4.583248178277552</v>
      </c>
      <c r="M335" s="2">
        <f t="shared" si="30"/>
        <v>68.300000000000097</v>
      </c>
      <c r="N335" s="58">
        <f t="shared" si="26"/>
        <v>4.6412884333821172</v>
      </c>
    </row>
    <row r="336" spans="10:14">
      <c r="J336" s="58">
        <f t="shared" si="27"/>
        <v>0.75121124838328734</v>
      </c>
      <c r="K336" s="58">
        <f t="shared" si="28"/>
        <v>2.0553696450786085</v>
      </c>
      <c r="L336" s="58">
        <f t="shared" si="29"/>
        <v>4.5950351646142229</v>
      </c>
      <c r="M336" s="2">
        <f t="shared" si="30"/>
        <v>68.400000000000091</v>
      </c>
      <c r="N336" s="58">
        <f t="shared" si="26"/>
        <v>4.6198830409356528</v>
      </c>
    </row>
    <row r="337" spans="10:14">
      <c r="J337" s="58">
        <f t="shared" si="27"/>
        <v>0.75590323819910432</v>
      </c>
      <c r="K337" s="58">
        <f t="shared" si="28"/>
        <v>2.0634357215380144</v>
      </c>
      <c r="L337" s="58">
        <f t="shared" si="29"/>
        <v>4.606824123050874</v>
      </c>
      <c r="M337" s="2">
        <f t="shared" si="30"/>
        <v>68.500000000000085</v>
      </c>
      <c r="N337" s="58">
        <f t="shared" si="26"/>
        <v>4.5985401459853836</v>
      </c>
    </row>
    <row r="338" spans="10:14">
      <c r="J338" s="58">
        <f t="shared" si="27"/>
        <v>0.76061008456991008</v>
      </c>
      <c r="K338" s="58">
        <f t="shared" si="28"/>
        <v>2.0715133224910347</v>
      </c>
      <c r="L338" s="58">
        <f t="shared" si="29"/>
        <v>4.618615040076901</v>
      </c>
      <c r="M338" s="2">
        <f t="shared" si="30"/>
        <v>68.60000000000008</v>
      </c>
      <c r="N338" s="58">
        <f t="shared" si="26"/>
        <v>4.5772594752186428</v>
      </c>
    </row>
    <row r="339" spans="10:14">
      <c r="J339" s="58">
        <f t="shared" si="27"/>
        <v>0.76533180987701255</v>
      </c>
      <c r="K339" s="58">
        <f t="shared" si="28"/>
        <v>2.0796024459821081</v>
      </c>
      <c r="L339" s="58">
        <f t="shared" si="29"/>
        <v>4.6304079022612408</v>
      </c>
      <c r="M339" s="2">
        <f t="shared" si="30"/>
        <v>68.700000000000074</v>
      </c>
      <c r="N339" s="58">
        <f t="shared" si="26"/>
        <v>4.5560407569141042</v>
      </c>
    </row>
    <row r="340" spans="10:14">
      <c r="J340" s="58">
        <f t="shared" si="27"/>
        <v>0.77006843672771397</v>
      </c>
      <c r="K340" s="58">
        <f t="shared" si="28"/>
        <v>2.0877030901561064</v>
      </c>
      <c r="L340" s="58">
        <f t="shared" si="29"/>
        <v>4.6422026962517871</v>
      </c>
      <c r="M340" s="2">
        <f t="shared" si="30"/>
        <v>68.800000000000068</v>
      </c>
      <c r="N340" s="58">
        <f t="shared" si="26"/>
        <v>4.5348837209302175</v>
      </c>
    </row>
    <row r="341" spans="10:14">
      <c r="J341" s="58">
        <f t="shared" si="27"/>
        <v>0.77481998795548856</v>
      </c>
      <c r="K341" s="58">
        <f t="shared" si="28"/>
        <v>2.0958152532578134</v>
      </c>
      <c r="L341" s="58">
        <f t="shared" si="29"/>
        <v>4.6539994087748235</v>
      </c>
      <c r="M341" s="2">
        <f t="shared" si="30"/>
        <v>68.900000000000063</v>
      </c>
      <c r="N341" s="58">
        <f t="shared" si="26"/>
        <v>4.5137880986937464</v>
      </c>
    </row>
    <row r="342" spans="10:14">
      <c r="J342" s="58">
        <f t="shared" si="27"/>
        <v>0.77958648662017382</v>
      </c>
      <c r="K342" s="58">
        <f t="shared" si="28"/>
        <v>2.1039389336314089</v>
      </c>
      <c r="L342" s="58">
        <f t="shared" si="29"/>
        <v>4.6657980266344543</v>
      </c>
      <c r="M342" s="2">
        <f t="shared" si="30"/>
        <v>69.000000000000057</v>
      </c>
      <c r="N342" s="58">
        <f t="shared" si="26"/>
        <v>4.4927536231883938</v>
      </c>
    </row>
    <row r="343" spans="10:14">
      <c r="J343" s="58">
        <f t="shared" si="27"/>
        <v>0.78436795600816467</v>
      </c>
      <c r="K343" s="58">
        <f t="shared" si="28"/>
        <v>2.1120741297199515</v>
      </c>
      <c r="L343" s="58">
        <f t="shared" si="29"/>
        <v>4.6775985367120381</v>
      </c>
      <c r="M343" s="2">
        <f t="shared" si="30"/>
        <v>69.100000000000051</v>
      </c>
      <c r="N343" s="58">
        <f t="shared" si="26"/>
        <v>4.4717800289435488</v>
      </c>
    </row>
    <row r="344" spans="10:14">
      <c r="J344" s="58">
        <f t="shared" si="27"/>
        <v>0.78916441963262218</v>
      </c>
      <c r="K344" s="58">
        <f t="shared" si="28"/>
        <v>2.1202208400648708</v>
      </c>
      <c r="L344" s="58">
        <f t="shared" si="29"/>
        <v>4.6894009259656313</v>
      </c>
      <c r="M344" s="2">
        <f t="shared" si="30"/>
        <v>69.200000000000045</v>
      </c>
      <c r="N344" s="58">
        <f t="shared" si="26"/>
        <v>4.4508670520231117</v>
      </c>
    </row>
    <row r="345" spans="10:14">
      <c r="J345" s="58">
        <f t="shared" si="27"/>
        <v>0.79397590123369155</v>
      </c>
      <c r="K345" s="58">
        <f t="shared" si="28"/>
        <v>2.1283790633054638</v>
      </c>
      <c r="L345" s="58">
        <f t="shared" si="29"/>
        <v>4.7012051814294349</v>
      </c>
      <c r="M345" s="2">
        <f t="shared" si="30"/>
        <v>69.30000000000004</v>
      </c>
      <c r="N345" s="58">
        <f t="shared" si="26"/>
        <v>4.4300144300144222</v>
      </c>
    </row>
    <row r="346" spans="10:14">
      <c r="J346" s="58">
        <f t="shared" si="27"/>
        <v>0.79880242477872776</v>
      </c>
      <c r="K346" s="58">
        <f t="shared" si="28"/>
        <v>2.1365487981783997</v>
      </c>
      <c r="L346" s="58">
        <f t="shared" si="29"/>
        <v>4.7130112902132471</v>
      </c>
      <c r="M346" s="2">
        <f t="shared" si="30"/>
        <v>69.400000000000034</v>
      </c>
      <c r="N346" s="58">
        <f t="shared" si="26"/>
        <v>4.4092219020172845</v>
      </c>
    </row>
    <row r="347" spans="10:14">
      <c r="J347" s="58">
        <f t="shared" si="27"/>
        <v>0.80364401446253086</v>
      </c>
      <c r="K347" s="58">
        <f t="shared" si="28"/>
        <v>2.1447300435172201</v>
      </c>
      <c r="L347" s="58">
        <f t="shared" si="29"/>
        <v>4.7248192395019171</v>
      </c>
      <c r="M347" s="2">
        <f t="shared" si="30"/>
        <v>69.500000000000028</v>
      </c>
      <c r="N347" s="58">
        <f t="shared" si="26"/>
        <v>4.3884892086330876</v>
      </c>
    </row>
    <row r="348" spans="10:14">
      <c r="J348" s="58">
        <f t="shared" si="27"/>
        <v>0.80850069470759212</v>
      </c>
      <c r="K348" s="58">
        <f t="shared" si="28"/>
        <v>2.1529227982518542</v>
      </c>
      <c r="L348" s="58">
        <f t="shared" si="29"/>
        <v>4.7366290165548035</v>
      </c>
      <c r="M348" s="2">
        <f t="shared" si="30"/>
        <v>69.600000000000023</v>
      </c>
      <c r="N348" s="58">
        <f t="shared" si="26"/>
        <v>4.367816091954019</v>
      </c>
    </row>
    <row r="349" spans="10:14">
      <c r="J349" s="58">
        <f t="shared" si="27"/>
        <v>0.81337249016435009</v>
      </c>
      <c r="K349" s="58">
        <f t="shared" si="28"/>
        <v>2.1611270614081333</v>
      </c>
      <c r="L349" s="58">
        <f t="shared" si="29"/>
        <v>4.7484406087052449</v>
      </c>
      <c r="M349" s="2">
        <f t="shared" si="30"/>
        <v>69.700000000000017</v>
      </c>
      <c r="N349" s="58">
        <f t="shared" si="26"/>
        <v>4.3472022955523641</v>
      </c>
    </row>
    <row r="350" spans="10:14">
      <c r="J350" s="58">
        <f t="shared" si="27"/>
        <v>0.81825942571145216</v>
      </c>
      <c r="K350" s="58">
        <f t="shared" si="28"/>
        <v>2.1693428321073132</v>
      </c>
      <c r="L350" s="58">
        <f t="shared" si="29"/>
        <v>4.7602540033600267</v>
      </c>
      <c r="M350" s="2">
        <f t="shared" si="30"/>
        <v>69.800000000000011</v>
      </c>
      <c r="N350" s="58">
        <f t="shared" si="26"/>
        <v>4.3266475644699121</v>
      </c>
    </row>
    <row r="351" spans="10:14">
      <c r="J351" s="58">
        <f t="shared" si="27"/>
        <v>0.82316152645603224</v>
      </c>
      <c r="K351" s="58">
        <f t="shared" si="28"/>
        <v>2.1775701095655955</v>
      </c>
      <c r="L351" s="58">
        <f t="shared" si="29"/>
        <v>4.7720691879988539</v>
      </c>
      <c r="M351" s="2">
        <f t="shared" si="30"/>
        <v>69.900000000000006</v>
      </c>
      <c r="N351" s="58">
        <f t="shared" si="26"/>
        <v>4.3061516452074375</v>
      </c>
    </row>
    <row r="352" spans="10:14">
      <c r="J352" s="58">
        <f t="shared" si="27"/>
        <v>0.82807881773399017</v>
      </c>
      <c r="K352" s="58">
        <f t="shared" si="28"/>
        <v>2.185808893093661</v>
      </c>
      <c r="L352" s="58">
        <f t="shared" si="29"/>
        <v>4.783886150173835</v>
      </c>
      <c r="M352" s="2">
        <f t="shared" si="30"/>
        <v>70</v>
      </c>
      <c r="N352" s="58">
        <f t="shared" si="26"/>
        <v>4.2857142857142865</v>
      </c>
    </row>
    <row r="353" spans="10:14">
      <c r="J353" s="58">
        <f t="shared" si="27"/>
        <v>0.83301132511028919</v>
      </c>
      <c r="K353" s="58">
        <f t="shared" si="28"/>
        <v>2.194059182096205</v>
      </c>
      <c r="L353" s="58">
        <f t="shared" si="29"/>
        <v>4.795704877508963</v>
      </c>
      <c r="M353" s="2">
        <f t="shared" si="30"/>
        <v>70.099999999999994</v>
      </c>
      <c r="N353" s="58">
        <f t="shared" si="26"/>
        <v>4.2653352353780321</v>
      </c>
    </row>
    <row r="354" spans="10:14">
      <c r="J354" s="58">
        <f t="shared" si="27"/>
        <v>0.83795907437925365</v>
      </c>
      <c r="K354" s="58">
        <f t="shared" si="28"/>
        <v>2.2023209760714719</v>
      </c>
      <c r="L354" s="58">
        <f t="shared" si="29"/>
        <v>4.8075253576995989</v>
      </c>
      <c r="M354" s="2">
        <f t="shared" si="30"/>
        <v>70.199999999999989</v>
      </c>
      <c r="N354" s="58">
        <f t="shared" si="26"/>
        <v>4.2450142450142465</v>
      </c>
    </row>
    <row r="355" spans="10:14">
      <c r="J355" s="58">
        <f t="shared" si="27"/>
        <v>0.84292209156488418</v>
      </c>
      <c r="K355" s="58">
        <f t="shared" si="28"/>
        <v>2.2105942746108034</v>
      </c>
      <c r="L355" s="58">
        <f t="shared" si="29"/>
        <v>4.8193475785119704</v>
      </c>
      <c r="M355" s="2">
        <f t="shared" si="30"/>
        <v>70.299999999999983</v>
      </c>
      <c r="N355" s="58">
        <f t="shared" si="26"/>
        <v>4.2247510668563333</v>
      </c>
    </row>
    <row r="356" spans="10:14">
      <c r="J356" s="58">
        <f t="shared" si="27"/>
        <v>0.84790040292117763</v>
      </c>
      <c r="K356" s="58">
        <f t="shared" si="28"/>
        <v>2.2188790773981841</v>
      </c>
      <c r="L356" s="58">
        <f t="shared" si="29"/>
        <v>4.8311715277826659</v>
      </c>
      <c r="M356" s="2">
        <f t="shared" si="30"/>
        <v>70.399999999999977</v>
      </c>
      <c r="N356" s="58">
        <f t="shared" si="26"/>
        <v>4.2045454545454586</v>
      </c>
    </row>
    <row r="357" spans="10:14">
      <c r="J357" s="58">
        <f t="shared" si="27"/>
        <v>0.85289403493245664</v>
      </c>
      <c r="K357" s="58">
        <f t="shared" si="28"/>
        <v>2.2271753842097928</v>
      </c>
      <c r="L357" s="58">
        <f t="shared" si="29"/>
        <v>4.8429971934181326</v>
      </c>
      <c r="M357" s="2">
        <f t="shared" si="30"/>
        <v>70.499999999999972</v>
      </c>
      <c r="N357" s="58">
        <f t="shared" si="26"/>
        <v>4.1843971631205736</v>
      </c>
    </row>
    <row r="358" spans="10:14">
      <c r="J358" s="58">
        <f t="shared" si="27"/>
        <v>0.85790301431371241</v>
      </c>
      <c r="K358" s="58">
        <f t="shared" si="28"/>
        <v>2.2354831949135634</v>
      </c>
      <c r="L358" s="58">
        <f t="shared" si="29"/>
        <v>4.8548245633941907</v>
      </c>
      <c r="M358" s="2">
        <f t="shared" si="30"/>
        <v>70.599999999999966</v>
      </c>
      <c r="N358" s="58">
        <f t="shared" si="26"/>
        <v>4.1643059490085061</v>
      </c>
    </row>
    <row r="359" spans="10:14">
      <c r="J359" s="58">
        <f t="shared" si="27"/>
        <v>0.86292736801095182</v>
      </c>
      <c r="K359" s="58">
        <f t="shared" si="28"/>
        <v>2.2438025094687459</v>
      </c>
      <c r="L359" s="58">
        <f t="shared" si="29"/>
        <v>4.8666536257555277</v>
      </c>
      <c r="M359" s="2">
        <f t="shared" si="30"/>
        <v>70.69999999999996</v>
      </c>
      <c r="N359" s="58">
        <f t="shared" si="26"/>
        <v>4.144271570014153</v>
      </c>
    </row>
    <row r="360" spans="10:14">
      <c r="J360" s="58">
        <f t="shared" si="27"/>
        <v>0.86796712320155667</v>
      </c>
      <c r="K360" s="58">
        <f t="shared" si="28"/>
        <v>2.2521333279254638</v>
      </c>
      <c r="L360" s="58">
        <f t="shared" si="29"/>
        <v>4.8784843686152248</v>
      </c>
      <c r="M360" s="2">
        <f t="shared" si="30"/>
        <v>70.799999999999955</v>
      </c>
      <c r="N360" s="58">
        <f t="shared" si="26"/>
        <v>4.1242937853107442</v>
      </c>
    </row>
    <row r="361" spans="10:14">
      <c r="J361" s="58">
        <f t="shared" si="27"/>
        <v>0.87302230729465335</v>
      </c>
      <c r="K361" s="58">
        <f t="shared" si="28"/>
        <v>2.2604756504242949</v>
      </c>
      <c r="L361" s="58">
        <f t="shared" si="29"/>
        <v>4.8903167801542686</v>
      </c>
      <c r="M361" s="2">
        <f t="shared" si="30"/>
        <v>70.899999999999949</v>
      </c>
      <c r="N361" s="58">
        <f t="shared" si="26"/>
        <v>4.1043723554301934</v>
      </c>
    </row>
    <row r="362" spans="10:14">
      <c r="J362" s="58">
        <f t="shared" si="27"/>
        <v>0.87809294793148851</v>
      </c>
      <c r="K362" s="58">
        <f t="shared" si="28"/>
        <v>2.2688294771958382</v>
      </c>
      <c r="L362" s="58">
        <f t="shared" si="29"/>
        <v>4.9021508486210728</v>
      </c>
      <c r="M362" s="2">
        <f t="shared" si="30"/>
        <v>70.999999999999943</v>
      </c>
      <c r="N362" s="58">
        <f t="shared" si="26"/>
        <v>4.0845070422535326</v>
      </c>
    </row>
    <row r="363" spans="10:14">
      <c r="J363" s="58">
        <f t="shared" si="27"/>
        <v>0.88317907298581877</v>
      </c>
      <c r="K363" s="58">
        <f t="shared" si="28"/>
        <v>2.2771948085602962</v>
      </c>
      <c r="L363" s="58">
        <f t="shared" si="29"/>
        <v>4.9139865623310097</v>
      </c>
      <c r="M363" s="2">
        <f t="shared" si="30"/>
        <v>71.099999999999937</v>
      </c>
      <c r="N363" s="58">
        <f t="shared" si="26"/>
        <v>4.0646976090014189</v>
      </c>
    </row>
    <row r="364" spans="10:14">
      <c r="J364" s="58">
        <f t="shared" si="27"/>
        <v>0.88828071056430502</v>
      </c>
      <c r="K364" s="58">
        <f t="shared" si="28"/>
        <v>2.2855716449270531</v>
      </c>
      <c r="L364" s="58">
        <f t="shared" si="29"/>
        <v>4.9258239096659278</v>
      </c>
      <c r="M364" s="2">
        <f t="shared" si="30"/>
        <v>71.199999999999932</v>
      </c>
      <c r="N364" s="58">
        <f t="shared" si="26"/>
        <v>4.0449438202247325</v>
      </c>
    </row>
    <row r="365" spans="10:14">
      <c r="J365" s="58">
        <f t="shared" si="27"/>
        <v>0.89339788900691974</v>
      </c>
      <c r="K365" s="58">
        <f t="shared" si="28"/>
        <v>2.2939599867942659</v>
      </c>
      <c r="L365" s="58">
        <f t="shared" si="29"/>
        <v>4.9376628790736978</v>
      </c>
      <c r="M365" s="2">
        <f t="shared" si="30"/>
        <v>71.299999999999926</v>
      </c>
      <c r="N365" s="58">
        <f t="shared" si="26"/>
        <v>4.0252454417952457</v>
      </c>
    </row>
    <row r="366" spans="10:14">
      <c r="J366" s="58">
        <f t="shared" si="27"/>
        <v>0.8985306368873609</v>
      </c>
      <c r="K366" s="58">
        <f t="shared" si="28"/>
        <v>2.3023598347484509</v>
      </c>
      <c r="L366" s="58">
        <f t="shared" si="29"/>
        <v>4.949503459067742</v>
      </c>
      <c r="M366" s="2">
        <f t="shared" si="30"/>
        <v>71.39999999999992</v>
      </c>
      <c r="N366" s="58">
        <f t="shared" si="26"/>
        <v>4.0056022408963745</v>
      </c>
    </row>
    <row r="367" spans="10:14">
      <c r="J367" s="58">
        <f t="shared" si="27"/>
        <v>0.90367898301347949</v>
      </c>
      <c r="K367" s="58">
        <f t="shared" si="28"/>
        <v>2.310771189464079</v>
      </c>
      <c r="L367" s="58">
        <f t="shared" si="29"/>
        <v>4.9613456382265833</v>
      </c>
      <c r="M367" s="2">
        <f t="shared" si="30"/>
        <v>71.499999999999915</v>
      </c>
      <c r="N367" s="58">
        <f t="shared" si="26"/>
        <v>3.9860139860140027</v>
      </c>
    </row>
    <row r="368" spans="10:14">
      <c r="J368" s="58">
        <f t="shared" si="27"/>
        <v>0.90884295642771051</v>
      </c>
      <c r="K368" s="58">
        <f t="shared" si="28"/>
        <v>2.3191940517031804</v>
      </c>
      <c r="L368" s="58">
        <f t="shared" si="29"/>
        <v>4.973189405193378</v>
      </c>
      <c r="M368" s="2">
        <f t="shared" si="30"/>
        <v>71.599999999999909</v>
      </c>
      <c r="N368" s="58">
        <f t="shared" si="26"/>
        <v>3.9664804469273918</v>
      </c>
    </row>
    <row r="369" spans="10:14">
      <c r="J369" s="58">
        <f t="shared" si="27"/>
        <v>0.91402258640751866</v>
      </c>
      <c r="K369" s="58">
        <f t="shared" si="28"/>
        <v>2.3276284223149335</v>
      </c>
      <c r="L369" s="58">
        <f t="shared" si="29"/>
        <v>4.9850347486754787</v>
      </c>
      <c r="M369" s="2">
        <f t="shared" si="30"/>
        <v>71.699999999999903</v>
      </c>
      <c r="N369" s="58">
        <f t="shared" si="26"/>
        <v>3.947001394700159</v>
      </c>
    </row>
    <row r="370" spans="10:14">
      <c r="J370" s="58">
        <f t="shared" si="27"/>
        <v>0.919217902465851</v>
      </c>
      <c r="K370" s="58">
        <f t="shared" si="28"/>
        <v>2.3360743022352866</v>
      </c>
      <c r="L370" s="58">
        <f t="shared" si="29"/>
        <v>4.9968816574439803</v>
      </c>
      <c r="M370" s="2">
        <f t="shared" si="30"/>
        <v>71.799999999999898</v>
      </c>
      <c r="N370" s="58">
        <f t="shared" si="26"/>
        <v>3.9275766016713298</v>
      </c>
    </row>
    <row r="371" spans="10:14">
      <c r="J371" s="58">
        <f t="shared" si="27"/>
        <v>0.92442893435159956</v>
      </c>
      <c r="K371" s="58">
        <f t="shared" si="28"/>
        <v>2.3445316924865582</v>
      </c>
      <c r="L371" s="58">
        <f t="shared" si="29"/>
        <v>5.0087301203332757</v>
      </c>
      <c r="M371" s="2">
        <f t="shared" si="30"/>
        <v>71.899999999999892</v>
      </c>
      <c r="N371" s="58">
        <f t="shared" si="26"/>
        <v>3.908205841446474</v>
      </c>
    </row>
    <row r="372" spans="10:14">
      <c r="J372" s="58">
        <f t="shared" si="27"/>
        <v>0.92965571205007247</v>
      </c>
      <c r="K372" s="58">
        <f t="shared" si="28"/>
        <v>2.3530005941770553</v>
      </c>
      <c r="L372" s="58">
        <f t="shared" si="29"/>
        <v>5.0205801262406178</v>
      </c>
      <c r="M372" s="2">
        <f t="shared" si="30"/>
        <v>71.999999999999886</v>
      </c>
      <c r="N372" s="58">
        <f t="shared" ref="N372:N435" si="31">IF(M372&gt;0,1000/M372-10,1000)</f>
        <v>3.8888888888889106</v>
      </c>
    </row>
    <row r="373" spans="10:14">
      <c r="J373" s="58">
        <f t="shared" si="27"/>
        <v>0.93489826578347623</v>
      </c>
      <c r="K373" s="58">
        <f t="shared" si="28"/>
        <v>2.361481008500689</v>
      </c>
      <c r="L373" s="58">
        <f t="shared" si="29"/>
        <v>5.0324316641256823</v>
      </c>
      <c r="M373" s="2">
        <f t="shared" si="30"/>
        <v>72.099999999999881</v>
      </c>
      <c r="N373" s="58">
        <f t="shared" si="31"/>
        <v>3.8696255201109793</v>
      </c>
    </row>
    <row r="374" spans="10:14">
      <c r="J374" s="58">
        <f t="shared" si="27"/>
        <v>0.94015662601140626</v>
      </c>
      <c r="K374" s="58">
        <f t="shared" si="28"/>
        <v>2.3699729367365996</v>
      </c>
      <c r="L374" s="58">
        <f t="shared" si="29"/>
        <v>5.0442847230101364</v>
      </c>
      <c r="M374" s="2">
        <f t="shared" si="30"/>
        <v>72.199999999999875</v>
      </c>
      <c r="N374" s="58">
        <f t="shared" si="31"/>
        <v>3.850415512465398</v>
      </c>
    </row>
    <row r="375" spans="10:14">
      <c r="J375" s="58">
        <f t="shared" si="27"/>
        <v>0.94543082343134688</v>
      </c>
      <c r="K375" s="58">
        <f t="shared" si="28"/>
        <v>2.3784763802487774</v>
      </c>
      <c r="L375" s="58">
        <f t="shared" si="29"/>
        <v>5.0561392919772121</v>
      </c>
      <c r="M375" s="2">
        <f t="shared" si="30"/>
        <v>72.299999999999869</v>
      </c>
      <c r="N375" s="58">
        <f t="shared" si="31"/>
        <v>3.8312586445366783</v>
      </c>
    </row>
    <row r="376" spans="10:14">
      <c r="J376" s="58">
        <f t="shared" si="27"/>
        <v>0.95072088897918261</v>
      </c>
      <c r="K376" s="58">
        <f t="shared" si="28"/>
        <v>2.3869913404856957</v>
      </c>
      <c r="L376" s="58">
        <f t="shared" si="29"/>
        <v>5.0679953601712766</v>
      </c>
      <c r="M376" s="2">
        <f t="shared" si="30"/>
        <v>72.399999999999864</v>
      </c>
      <c r="N376" s="58">
        <f t="shared" si="31"/>
        <v>3.8121546961326231</v>
      </c>
    </row>
    <row r="377" spans="10:14">
      <c r="J377" s="58">
        <f t="shared" si="27"/>
        <v>0.95602685382971464</v>
      </c>
      <c r="K377" s="58">
        <f t="shared" si="28"/>
        <v>2.3955178189799455</v>
      </c>
      <c r="L377" s="58">
        <f t="shared" si="29"/>
        <v>5.0798529167974111</v>
      </c>
      <c r="M377" s="2">
        <f t="shared" si="30"/>
        <v>72.499999999999858</v>
      </c>
      <c r="N377" s="58">
        <f t="shared" si="31"/>
        <v>3.7931034482758896</v>
      </c>
    </row>
    <row r="378" spans="10:14">
      <c r="J378" s="58">
        <f t="shared" si="27"/>
        <v>0.96134874939719206</v>
      </c>
      <c r="K378" s="58">
        <f t="shared" si="28"/>
        <v>2.4040558173478623</v>
      </c>
      <c r="L378" s="58">
        <f t="shared" si="29"/>
        <v>5.0917119511209954</v>
      </c>
      <c r="M378" s="2">
        <f t="shared" si="30"/>
        <v>72.599999999999852</v>
      </c>
      <c r="N378" s="58">
        <f t="shared" si="31"/>
        <v>3.7741046831956204</v>
      </c>
    </row>
    <row r="379" spans="10:14">
      <c r="J379" s="58">
        <f t="shared" si="27"/>
        <v>0.96668660733584888</v>
      </c>
      <c r="K379" s="58">
        <f t="shared" si="28"/>
        <v>2.412605337289178</v>
      </c>
      <c r="L379" s="58">
        <f t="shared" si="29"/>
        <v>5.1035724524672892</v>
      </c>
      <c r="M379" s="2">
        <f t="shared" si="30"/>
        <v>72.699999999999847</v>
      </c>
      <c r="N379" s="58">
        <f t="shared" si="31"/>
        <v>3.7551581843191482</v>
      </c>
    </row>
    <row r="380" spans="10:14">
      <c r="J380" s="58">
        <f t="shared" ref="J380:J443" si="32">IF(D$5&gt;0.2*($N380),(D$5-0.2*($N380))^2/(D$5+0.8*($N380)),0)</f>
        <v>0.97204045954045126</v>
      </c>
      <c r="K380" s="58">
        <f t="shared" ref="K380:K443" si="33">IF(E$5&gt;0.2*($N380),(E$5-0.2*($N380))^2/(E$5+0.8*($N380)),0)</f>
        <v>2.4211663805866568</v>
      </c>
      <c r="L380" s="58">
        <f t="shared" ref="L380:L443" si="34">IF(F$5&gt;0.2*($N380),(F$5-0.2*($N380))^2/(F$5+0.8*($N380)),0)</f>
        <v>5.1154344102210247</v>
      </c>
      <c r="M380" s="2">
        <f t="shared" ref="M380:M443" si="35">M379+0.1</f>
        <v>72.799999999999841</v>
      </c>
      <c r="N380" s="58">
        <f t="shared" si="31"/>
        <v>3.7362637362637656</v>
      </c>
    </row>
    <row r="381" spans="10:14">
      <c r="J381" s="58">
        <f t="shared" si="32"/>
        <v>0.97741033814685674</v>
      </c>
      <c r="K381" s="58">
        <f t="shared" si="33"/>
        <v>2.4297389491057468</v>
      </c>
      <c r="L381" s="58">
        <f t="shared" si="34"/>
        <v>5.1272978138259955</v>
      </c>
      <c r="M381" s="2">
        <f t="shared" si="35"/>
        <v>72.899999999999835</v>
      </c>
      <c r="N381" s="58">
        <f t="shared" si="31"/>
        <v>3.7174211248285634</v>
      </c>
    </row>
    <row r="382" spans="10:14">
      <c r="J382" s="58">
        <f t="shared" si="32"/>
        <v>0.98279627553257998</v>
      </c>
      <c r="K382" s="58">
        <f t="shared" si="33"/>
        <v>2.4383230447942301</v>
      </c>
      <c r="L382" s="58">
        <f t="shared" si="34"/>
        <v>5.139162652784651</v>
      </c>
      <c r="M382" s="2">
        <f t="shared" si="35"/>
        <v>72.999999999999829</v>
      </c>
      <c r="N382" s="58">
        <f t="shared" si="31"/>
        <v>3.698630136986333</v>
      </c>
    </row>
    <row r="383" spans="10:14">
      <c r="J383" s="58">
        <f t="shared" si="32"/>
        <v>0.9881983043173681</v>
      </c>
      <c r="K383" s="58">
        <f t="shared" si="33"/>
        <v>2.446918669681871</v>
      </c>
      <c r="L383" s="58">
        <f t="shared" si="34"/>
        <v>5.1510289166577019</v>
      </c>
      <c r="M383" s="2">
        <f t="shared" si="35"/>
        <v>73.099999999999824</v>
      </c>
      <c r="N383" s="58">
        <f t="shared" si="31"/>
        <v>3.6798905608755454</v>
      </c>
    </row>
    <row r="384" spans="10:14">
      <c r="J384" s="58">
        <f t="shared" si="32"/>
        <v>0.99361645736378756</v>
      </c>
      <c r="K384" s="58">
        <f t="shared" si="33"/>
        <v>2.4555258258800836</v>
      </c>
      <c r="L384" s="58">
        <f t="shared" si="34"/>
        <v>5.1628965950637129</v>
      </c>
      <c r="M384" s="2">
        <f t="shared" si="35"/>
        <v>73.199999999999818</v>
      </c>
      <c r="N384" s="58">
        <f t="shared" si="31"/>
        <v>3.6612021857923835</v>
      </c>
    </row>
    <row r="385" spans="10:14">
      <c r="J385" s="58">
        <f t="shared" si="32"/>
        <v>0.99905076777782043</v>
      </c>
      <c r="K385" s="58">
        <f t="shared" si="33"/>
        <v>2.4641445155815846</v>
      </c>
      <c r="L385" s="58">
        <f t="shared" si="34"/>
        <v>5.1747656776787112</v>
      </c>
      <c r="M385" s="2">
        <f t="shared" si="35"/>
        <v>73.299999999999812</v>
      </c>
      <c r="N385" s="58">
        <f t="shared" si="31"/>
        <v>3.6425648021828447</v>
      </c>
    </row>
    <row r="386" spans="10:14">
      <c r="J386" s="58">
        <f t="shared" si="32"/>
        <v>1.0045012689094679</v>
      </c>
      <c r="K386" s="58">
        <f t="shared" si="33"/>
        <v>2.4727747410600611</v>
      </c>
      <c r="L386" s="58">
        <f t="shared" si="34"/>
        <v>5.1866361542357993</v>
      </c>
      <c r="M386" s="2">
        <f t="shared" si="35"/>
        <v>73.399999999999807</v>
      </c>
      <c r="N386" s="58">
        <f t="shared" si="31"/>
        <v>3.6239782016349125</v>
      </c>
    </row>
    <row r="387" spans="10:14">
      <c r="J387" s="58">
        <f t="shared" si="32"/>
        <v>1.0099679943533657</v>
      </c>
      <c r="K387" s="58">
        <f t="shared" si="33"/>
        <v>2.4814165046698413</v>
      </c>
      <c r="L387" s="58">
        <f t="shared" si="34"/>
        <v>5.1985080145247604</v>
      </c>
      <c r="M387" s="2">
        <f t="shared" si="35"/>
        <v>73.499999999999801</v>
      </c>
      <c r="N387" s="58">
        <f t="shared" si="31"/>
        <v>3.6054421768707847</v>
      </c>
    </row>
    <row r="388" spans="10:14">
      <c r="J388" s="58">
        <f t="shared" si="32"/>
        <v>1.0154509779494094</v>
      </c>
      <c r="K388" s="58">
        <f t="shared" si="33"/>
        <v>2.4900698088455586</v>
      </c>
      <c r="L388" s="58">
        <f t="shared" si="34"/>
        <v>5.2103812483916778</v>
      </c>
      <c r="M388" s="2">
        <f t="shared" si="35"/>
        <v>73.599999999999795</v>
      </c>
      <c r="N388" s="58">
        <f t="shared" si="31"/>
        <v>3.5869565217391681</v>
      </c>
    </row>
    <row r="389" spans="10:14">
      <c r="J389" s="58">
        <f t="shared" si="32"/>
        <v>1.0209502537833872</v>
      </c>
      <c r="K389" s="58">
        <f t="shared" si="33"/>
        <v>2.498734656101834</v>
      </c>
      <c r="L389" s="58">
        <f t="shared" si="34"/>
        <v>5.2222558457385464</v>
      </c>
      <c r="M389" s="2">
        <f t="shared" si="35"/>
        <v>73.69999999999979</v>
      </c>
      <c r="N389" s="58">
        <f t="shared" si="31"/>
        <v>3.5685210312076379</v>
      </c>
    </row>
    <row r="390" spans="10:14">
      <c r="J390" s="58">
        <f t="shared" si="32"/>
        <v>1.0264658561876243</v>
      </c>
      <c r="K390" s="58">
        <f t="shared" si="33"/>
        <v>2.5074110490329473</v>
      </c>
      <c r="L390" s="58">
        <f t="shared" si="34"/>
        <v>5.2341317965229059</v>
      </c>
      <c r="M390" s="2">
        <f t="shared" si="35"/>
        <v>73.799999999999784</v>
      </c>
      <c r="N390" s="58">
        <f t="shared" si="31"/>
        <v>3.5501355013550526</v>
      </c>
    </row>
    <row r="391" spans="10:14">
      <c r="J391" s="58">
        <f t="shared" si="32"/>
        <v>1.031997819741634</v>
      </c>
      <c r="K391" s="58">
        <f t="shared" si="33"/>
        <v>2.516098990312519</v>
      </c>
      <c r="L391" s="58">
        <f t="shared" si="34"/>
        <v>5.2460090907574459</v>
      </c>
      <c r="M391" s="2">
        <f t="shared" si="35"/>
        <v>73.899999999999778</v>
      </c>
      <c r="N391" s="58">
        <f t="shared" si="31"/>
        <v>3.531799729364046</v>
      </c>
    </row>
    <row r="392" spans="10:14">
      <c r="J392" s="58">
        <f t="shared" si="32"/>
        <v>1.0375461792727854</v>
      </c>
      <c r="K392" s="58">
        <f t="shared" si="33"/>
        <v>2.5247984826931988</v>
      </c>
      <c r="L392" s="58">
        <f t="shared" si="34"/>
        <v>5.2578877185096546</v>
      </c>
      <c r="M392" s="2">
        <f t="shared" si="35"/>
        <v>73.999999999999773</v>
      </c>
      <c r="N392" s="58">
        <f t="shared" si="31"/>
        <v>3.5135135135135549</v>
      </c>
    </row>
    <row r="393" spans="10:14">
      <c r="J393" s="58">
        <f t="shared" si="32"/>
        <v>1.0431109698569723</v>
      </c>
      <c r="K393" s="58">
        <f t="shared" si="33"/>
        <v>2.5335095290063521</v>
      </c>
      <c r="L393" s="58">
        <f t="shared" si="34"/>
        <v>5.2697676699014302</v>
      </c>
      <c r="M393" s="2">
        <f t="shared" si="35"/>
        <v>74.099999999999767</v>
      </c>
      <c r="N393" s="58">
        <f t="shared" si="31"/>
        <v>3.4952766531714321</v>
      </c>
    </row>
    <row r="394" spans="10:14">
      <c r="J394" s="58">
        <f t="shared" si="32"/>
        <v>1.0486922268192964</v>
      </c>
      <c r="K394" s="58">
        <f t="shared" si="33"/>
        <v>2.5422321321617418</v>
      </c>
      <c r="L394" s="58">
        <f t="shared" si="34"/>
        <v>5.2816489351087288</v>
      </c>
      <c r="M394" s="2">
        <f t="shared" si="35"/>
        <v>74.199999999999761</v>
      </c>
      <c r="N394" s="58">
        <f t="shared" si="31"/>
        <v>3.4770889487871059</v>
      </c>
    </row>
    <row r="395" spans="10:14">
      <c r="J395" s="58">
        <f t="shared" si="32"/>
        <v>1.0542899857347621</v>
      </c>
      <c r="K395" s="58">
        <f t="shared" si="33"/>
        <v>2.5509662951472358</v>
      </c>
      <c r="L395" s="58">
        <f t="shared" si="34"/>
        <v>5.2935315043611899</v>
      </c>
      <c r="M395" s="2">
        <f t="shared" si="35"/>
        <v>74.299999999999756</v>
      </c>
      <c r="N395" s="58">
        <f t="shared" si="31"/>
        <v>3.4589502018842975</v>
      </c>
    </row>
    <row r="396" spans="10:14">
      <c r="J396" s="58">
        <f t="shared" si="32"/>
        <v>1.0599042824289748</v>
      </c>
      <c r="K396" s="58">
        <f t="shared" si="33"/>
        <v>2.5597120210284912</v>
      </c>
      <c r="L396" s="58">
        <f t="shared" si="34"/>
        <v>5.3054153679417793</v>
      </c>
      <c r="M396" s="2">
        <f t="shared" si="35"/>
        <v>74.39999999999975</v>
      </c>
      <c r="N396" s="58">
        <f t="shared" si="31"/>
        <v>3.4408602150538083</v>
      </c>
    </row>
    <row r="397" spans="10:14">
      <c r="J397" s="58">
        <f t="shared" si="32"/>
        <v>1.0655351529788561</v>
      </c>
      <c r="K397" s="58">
        <f t="shared" si="33"/>
        <v>2.5684693129486629</v>
      </c>
      <c r="L397" s="58">
        <f t="shared" si="34"/>
        <v>5.3173005161864335</v>
      </c>
      <c r="M397" s="2">
        <f t="shared" si="35"/>
        <v>74.499999999999744</v>
      </c>
      <c r="N397" s="58">
        <f t="shared" si="31"/>
        <v>3.4228187919463551</v>
      </c>
    </row>
    <row r="398" spans="10:14">
      <c r="J398" s="58">
        <f t="shared" si="32"/>
        <v>1.0711826337133648</v>
      </c>
      <c r="K398" s="58">
        <f t="shared" si="33"/>
        <v>2.5772381741281007</v>
      </c>
      <c r="L398" s="58">
        <f t="shared" si="34"/>
        <v>5.3291869394837024</v>
      </c>
      <c r="M398" s="2">
        <f t="shared" si="35"/>
        <v>74.599999999999739</v>
      </c>
      <c r="N398" s="58">
        <f t="shared" si="31"/>
        <v>3.4048257372654618</v>
      </c>
    </row>
    <row r="399" spans="10:14">
      <c r="J399" s="58">
        <f t="shared" si="32"/>
        <v>1.0768467612142274</v>
      </c>
      <c r="K399" s="58">
        <f t="shared" si="33"/>
        <v>2.5860186078640601</v>
      </c>
      <c r="L399" s="58">
        <f t="shared" si="34"/>
        <v>5.3410746282743906</v>
      </c>
      <c r="M399" s="2">
        <f t="shared" si="35"/>
        <v>74.699999999999733</v>
      </c>
      <c r="N399" s="58">
        <f t="shared" si="31"/>
        <v>3.3868808567604223</v>
      </c>
    </row>
    <row r="400" spans="10:14">
      <c r="J400" s="58">
        <f t="shared" si="32"/>
        <v>1.0825275723166801</v>
      </c>
      <c r="K400" s="58">
        <f t="shared" si="33"/>
        <v>2.5948106175304053</v>
      </c>
      <c r="L400" s="58">
        <f t="shared" si="34"/>
        <v>5.3529635730512215</v>
      </c>
      <c r="M400" s="2">
        <f t="shared" si="35"/>
        <v>74.799999999999727</v>
      </c>
      <c r="N400" s="58">
        <f t="shared" si="31"/>
        <v>3.3689839572192994</v>
      </c>
    </row>
    <row r="401" spans="10:14">
      <c r="J401" s="58">
        <f t="shared" si="32"/>
        <v>1.0882251041102229</v>
      </c>
      <c r="K401" s="58">
        <f t="shared" si="33"/>
        <v>2.6036142065773253</v>
      </c>
      <c r="L401" s="58">
        <f t="shared" si="34"/>
        <v>5.3648537643584788</v>
      </c>
      <c r="M401" s="2">
        <f t="shared" si="35"/>
        <v>74.899999999999721</v>
      </c>
      <c r="N401" s="58">
        <f t="shared" si="31"/>
        <v>3.3511348464619992</v>
      </c>
    </row>
    <row r="402" spans="10:14">
      <c r="J402" s="58">
        <f t="shared" si="32"/>
        <v>1.0939393939393778</v>
      </c>
      <c r="K402" s="58">
        <f t="shared" si="33"/>
        <v>2.6124293785310488</v>
      </c>
      <c r="L402" s="58">
        <f t="shared" si="34"/>
        <v>5.3767451927916694</v>
      </c>
      <c r="M402" s="2">
        <f t="shared" si="35"/>
        <v>74.999999999999716</v>
      </c>
      <c r="N402" s="58">
        <f t="shared" si="31"/>
        <v>3.3333333333333837</v>
      </c>
    </row>
    <row r="403" spans="10:14">
      <c r="J403" s="58">
        <f t="shared" si="32"/>
        <v>1.0996704794044614</v>
      </c>
      <c r="K403" s="58">
        <f t="shared" si="33"/>
        <v>2.6212561369935576</v>
      </c>
      <c r="L403" s="58">
        <f t="shared" si="34"/>
        <v>5.3886378489971776</v>
      </c>
      <c r="M403" s="2">
        <f t="shared" si="35"/>
        <v>75.09999999999971</v>
      </c>
      <c r="N403" s="58">
        <f t="shared" si="31"/>
        <v>3.3155792276964569</v>
      </c>
    </row>
    <row r="404" spans="10:14">
      <c r="J404" s="58">
        <f t="shared" si="32"/>
        <v>1.1054183983623673</v>
      </c>
      <c r="K404" s="58">
        <f t="shared" si="33"/>
        <v>2.6300944856423136</v>
      </c>
      <c r="L404" s="58">
        <f t="shared" si="34"/>
        <v>5.4005317236719295</v>
      </c>
      <c r="M404" s="2">
        <f t="shared" si="35"/>
        <v>75.199999999999704</v>
      </c>
      <c r="N404" s="58">
        <f t="shared" si="31"/>
        <v>3.2978723404255845</v>
      </c>
    </row>
    <row r="405" spans="10:14">
      <c r="J405" s="58">
        <f t="shared" si="32"/>
        <v>1.1111831889273569</v>
      </c>
      <c r="K405" s="58">
        <f t="shared" si="33"/>
        <v>2.6389444282299772</v>
      </c>
      <c r="L405" s="58">
        <f t="shared" si="34"/>
        <v>5.4124268075630546</v>
      </c>
      <c r="M405" s="2">
        <f t="shared" si="35"/>
        <v>75.299999999999699</v>
      </c>
      <c r="N405" s="58">
        <f t="shared" si="31"/>
        <v>3.2802124833997883</v>
      </c>
    </row>
    <row r="406" spans="10:14">
      <c r="J406" s="58">
        <f t="shared" si="32"/>
        <v>1.1169648894718616</v>
      </c>
      <c r="K406" s="58">
        <f t="shared" si="33"/>
        <v>2.6478059685841338</v>
      </c>
      <c r="L406" s="58">
        <f t="shared" si="34"/>
        <v>5.42432309146756</v>
      </c>
      <c r="M406" s="2">
        <f t="shared" si="35"/>
        <v>75.399999999999693</v>
      </c>
      <c r="N406" s="58">
        <f t="shared" si="31"/>
        <v>3.2625994694960756</v>
      </c>
    </row>
    <row r="407" spans="10:14">
      <c r="J407" s="58">
        <f t="shared" si="32"/>
        <v>1.1227635386272929</v>
      </c>
      <c r="K407" s="58">
        <f t="shared" si="33"/>
        <v>2.6566791106070249</v>
      </c>
      <c r="L407" s="58">
        <f t="shared" si="34"/>
        <v>5.4362205662319862</v>
      </c>
      <c r="M407" s="2">
        <f t="shared" si="35"/>
        <v>75.499999999999687</v>
      </c>
      <c r="N407" s="58">
        <f t="shared" si="31"/>
        <v>3.2450331125828367</v>
      </c>
    </row>
    <row r="408" spans="10:14">
      <c r="J408" s="58">
        <f t="shared" si="32"/>
        <v>1.1285791752848668</v>
      </c>
      <c r="K408" s="58">
        <f t="shared" si="33"/>
        <v>2.665563858275279</v>
      </c>
      <c r="L408" s="58">
        <f t="shared" si="34"/>
        <v>5.4481192227520951</v>
      </c>
      <c r="M408" s="2">
        <f t="shared" si="35"/>
        <v>75.599999999999682</v>
      </c>
      <c r="N408" s="58">
        <f t="shared" si="31"/>
        <v>3.227513227513283</v>
      </c>
    </row>
    <row r="409" spans="10:14">
      <c r="J409" s="58">
        <f t="shared" si="32"/>
        <v>1.1344118385964348</v>
      </c>
      <c r="K409" s="58">
        <f t="shared" si="33"/>
        <v>2.6744602156396478</v>
      </c>
      <c r="L409" s="58">
        <f t="shared" si="34"/>
        <v>5.4600190519725293</v>
      </c>
      <c r="M409" s="2">
        <f t="shared" si="35"/>
        <v>75.699999999999676</v>
      </c>
      <c r="N409" s="58">
        <f t="shared" si="31"/>
        <v>3.2100396301189473</v>
      </c>
    </row>
    <row r="410" spans="10:14">
      <c r="J410" s="58">
        <f t="shared" si="32"/>
        <v>1.1402615679753263</v>
      </c>
      <c r="K410" s="58">
        <f t="shared" si="33"/>
        <v>2.6833681868247403</v>
      </c>
      <c r="L410" s="58">
        <f t="shared" si="34"/>
        <v>5.4719200448865086</v>
      </c>
      <c r="M410" s="2">
        <f t="shared" si="35"/>
        <v>75.79999999999967</v>
      </c>
      <c r="N410" s="58">
        <f t="shared" si="31"/>
        <v>3.1926121372032235</v>
      </c>
    </row>
    <row r="411" spans="10:14">
      <c r="J411" s="58">
        <f t="shared" si="32"/>
        <v>1.1461284030971999</v>
      </c>
      <c r="K411" s="58">
        <f t="shared" si="33"/>
        <v>2.6922877760287647</v>
      </c>
      <c r="L411" s="58">
        <f t="shared" si="34"/>
        <v>5.4838221925354862</v>
      </c>
      <c r="M411" s="2">
        <f t="shared" si="35"/>
        <v>75.899999999999665</v>
      </c>
      <c r="N411" s="58">
        <f t="shared" si="31"/>
        <v>3.1752305665349727</v>
      </c>
    </row>
    <row r="412" spans="10:14">
      <c r="J412" s="58">
        <f t="shared" si="32"/>
        <v>1.1520123839009087</v>
      </c>
      <c r="K412" s="58">
        <f t="shared" si="33"/>
        <v>2.7012189875232737</v>
      </c>
      <c r="L412" s="58">
        <f t="shared" si="34"/>
        <v>5.4957254860088511</v>
      </c>
      <c r="M412" s="2">
        <f t="shared" si="35"/>
        <v>75.999999999999659</v>
      </c>
      <c r="N412" s="58">
        <f t="shared" si="31"/>
        <v>3.1578947368421648</v>
      </c>
    </row>
    <row r="413" spans="10:14">
      <c r="J413" s="58">
        <f t="shared" si="32"/>
        <v>1.1579135505893723</v>
      </c>
      <c r="K413" s="58">
        <f t="shared" si="33"/>
        <v>2.7101618256529045</v>
      </c>
      <c r="L413" s="58">
        <f t="shared" si="34"/>
        <v>5.5076299164436042</v>
      </c>
      <c r="M413" s="2">
        <f t="shared" si="35"/>
        <v>76.099999999999653</v>
      </c>
      <c r="N413" s="58">
        <f t="shared" si="31"/>
        <v>3.1406044678055789</v>
      </c>
    </row>
    <row r="414" spans="10:14">
      <c r="J414" s="58">
        <f t="shared" si="32"/>
        <v>1.1638319436304594</v>
      </c>
      <c r="K414" s="58">
        <f t="shared" si="33"/>
        <v>2.7191162948351306</v>
      </c>
      <c r="L414" s="58">
        <f t="shared" si="34"/>
        <v>5.5195354750240453</v>
      </c>
      <c r="M414" s="2">
        <f t="shared" si="35"/>
        <v>76.199999999999648</v>
      </c>
      <c r="N414" s="58">
        <f t="shared" si="31"/>
        <v>3.1233595800525542</v>
      </c>
    </row>
    <row r="415" spans="10:14">
      <c r="J415" s="58">
        <f t="shared" si="32"/>
        <v>1.1697676037578839</v>
      </c>
      <c r="K415" s="58">
        <f t="shared" si="33"/>
        <v>2.728082399560015</v>
      </c>
      <c r="L415" s="58">
        <f t="shared" si="34"/>
        <v>5.5314421529814668</v>
      </c>
      <c r="M415" s="2">
        <f t="shared" si="35"/>
        <v>76.299999999999642</v>
      </c>
      <c r="N415" s="58">
        <f t="shared" si="31"/>
        <v>3.1061598951507818</v>
      </c>
    </row>
    <row r="416" spans="10:14">
      <c r="J416" s="58">
        <f t="shared" si="32"/>
        <v>1.1757205719721069</v>
      </c>
      <c r="K416" s="58">
        <f t="shared" si="33"/>
        <v>2.7370601443899547</v>
      </c>
      <c r="L416" s="58">
        <f t="shared" si="34"/>
        <v>5.5433499415938403</v>
      </c>
      <c r="M416" s="2">
        <f t="shared" si="35"/>
        <v>76.399999999999636</v>
      </c>
      <c r="N416" s="58">
        <f t="shared" si="31"/>
        <v>3.0890052356021567</v>
      </c>
    </row>
    <row r="417" spans="10:14">
      <c r="J417" s="58">
        <f t="shared" si="32"/>
        <v>1.1816908895412532</v>
      </c>
      <c r="K417" s="58">
        <f t="shared" si="33"/>
        <v>2.7460495339594475</v>
      </c>
      <c r="L417" s="58">
        <f t="shared" si="34"/>
        <v>5.555258832185519</v>
      </c>
      <c r="M417" s="2">
        <f t="shared" si="35"/>
        <v>76.499999999999631</v>
      </c>
      <c r="N417" s="58">
        <f t="shared" si="31"/>
        <v>3.071895424836665</v>
      </c>
    </row>
    <row r="418" spans="10:14">
      <c r="J418" s="58">
        <f t="shared" si="32"/>
        <v>1.1876785980020375</v>
      </c>
      <c r="K418" s="58">
        <f t="shared" si="33"/>
        <v>2.7550505729748442</v>
      </c>
      <c r="L418" s="58">
        <f t="shared" si="34"/>
        <v>5.5671688161269284</v>
      </c>
      <c r="M418" s="2">
        <f t="shared" si="35"/>
        <v>76.599999999999625</v>
      </c>
      <c r="N418" s="58">
        <f t="shared" si="31"/>
        <v>3.0548302872063307</v>
      </c>
    </row>
    <row r="419" spans="10:14">
      <c r="J419" s="58">
        <f t="shared" si="32"/>
        <v>1.193683739160698</v>
      </c>
      <c r="K419" s="58">
        <f t="shared" si="33"/>
        <v>2.76406326621411</v>
      </c>
      <c r="L419" s="58">
        <f t="shared" si="34"/>
        <v>5.57907988483427</v>
      </c>
      <c r="M419" s="2">
        <f t="shared" si="35"/>
        <v>76.699999999999619</v>
      </c>
      <c r="N419" s="58">
        <f t="shared" si="31"/>
        <v>3.0378096479792038</v>
      </c>
    </row>
    <row r="420" spans="10:14">
      <c r="J420" s="58">
        <f t="shared" si="32"/>
        <v>1.1997063550939429</v>
      </c>
      <c r="K420" s="58">
        <f t="shared" si="33"/>
        <v>2.7730876185265871</v>
      </c>
      <c r="L420" s="58">
        <f t="shared" si="34"/>
        <v>5.5909920297692146</v>
      </c>
      <c r="M420" s="2">
        <f t="shared" si="35"/>
        <v>76.799999999999613</v>
      </c>
      <c r="N420" s="58">
        <f t="shared" si="31"/>
        <v>3.0208333333333997</v>
      </c>
    </row>
    <row r="421" spans="10:14">
      <c r="J421" s="58">
        <f t="shared" si="32"/>
        <v>1.2057464881499116</v>
      </c>
      <c r="K421" s="58">
        <f t="shared" si="33"/>
        <v>2.7821236348327689</v>
      </c>
      <c r="L421" s="58">
        <f t="shared" si="34"/>
        <v>5.6029052424386228</v>
      </c>
      <c r="M421" s="2">
        <f t="shared" si="35"/>
        <v>76.899999999999608</v>
      </c>
      <c r="N421" s="58">
        <f t="shared" si="31"/>
        <v>3.0039011703511722</v>
      </c>
    </row>
    <row r="422" spans="10:14">
      <c r="J422" s="58">
        <f t="shared" si="32"/>
        <v>1.2118041809491384</v>
      </c>
      <c r="K422" s="58">
        <f t="shared" si="33"/>
        <v>2.7911713201240564</v>
      </c>
      <c r="L422" s="58">
        <f t="shared" si="34"/>
        <v>5.6148195143942345</v>
      </c>
      <c r="M422" s="2">
        <f t="shared" si="35"/>
        <v>76.999999999999602</v>
      </c>
      <c r="N422" s="58">
        <f t="shared" si="31"/>
        <v>2.9870129870130544</v>
      </c>
    </row>
    <row r="423" spans="10:14">
      <c r="J423" s="58">
        <f t="shared" si="32"/>
        <v>1.2178794763855318</v>
      </c>
      <c r="K423" s="58">
        <f t="shared" si="33"/>
        <v>2.8002306794625365</v>
      </c>
      <c r="L423" s="58">
        <f t="shared" si="34"/>
        <v>5.6267348372323873</v>
      </c>
      <c r="M423" s="2">
        <f t="shared" si="35"/>
        <v>77.099999999999596</v>
      </c>
      <c r="N423" s="58">
        <f t="shared" si="31"/>
        <v>2.9701686121920261</v>
      </c>
    </row>
    <row r="424" spans="10:14">
      <c r="J424" s="58">
        <f t="shared" si="32"/>
        <v>1.2239724176273661</v>
      </c>
      <c r="K424" s="58">
        <f t="shared" si="33"/>
        <v>2.8093017179807567</v>
      </c>
      <c r="L424" s="58">
        <f t="shared" si="34"/>
        <v>5.6386512025937225</v>
      </c>
      <c r="M424" s="2">
        <f t="shared" si="35"/>
        <v>77.199999999999591</v>
      </c>
      <c r="N424" s="58">
        <f t="shared" si="31"/>
        <v>2.9533678756477375</v>
      </c>
    </row>
    <row r="425" spans="10:14">
      <c r="J425" s="58">
        <f t="shared" si="32"/>
        <v>1.2300830481182792</v>
      </c>
      <c r="K425" s="58">
        <f t="shared" si="33"/>
        <v>2.8183844408814962</v>
      </c>
      <c r="L425" s="58">
        <f t="shared" si="34"/>
        <v>5.6505686021629051</v>
      </c>
      <c r="M425" s="2">
        <f t="shared" si="35"/>
        <v>77.299999999999585</v>
      </c>
      <c r="N425" s="58">
        <f t="shared" si="31"/>
        <v>2.9366106080207679</v>
      </c>
    </row>
    <row r="426" spans="10:14">
      <c r="J426" s="58">
        <f t="shared" si="32"/>
        <v>1.2362114115782861</v>
      </c>
      <c r="K426" s="58">
        <f t="shared" si="33"/>
        <v>2.8274788534375479</v>
      </c>
      <c r="L426" s="58">
        <f t="shared" si="34"/>
        <v>5.6624870276683339</v>
      </c>
      <c r="M426" s="2">
        <f t="shared" si="35"/>
        <v>77.399999999999579</v>
      </c>
      <c r="N426" s="58">
        <f t="shared" si="31"/>
        <v>2.9198966408269431</v>
      </c>
    </row>
    <row r="427" spans="10:14">
      <c r="J427" s="58">
        <f t="shared" si="32"/>
        <v>1.2423575520047978</v>
      </c>
      <c r="K427" s="58">
        <f t="shared" si="33"/>
        <v>2.8365849609914964</v>
      </c>
      <c r="L427" s="58">
        <f t="shared" si="34"/>
        <v>5.6744064708818565</v>
      </c>
      <c r="M427" s="2">
        <f t="shared" si="35"/>
        <v>77.499999999999574</v>
      </c>
      <c r="N427" s="58">
        <f t="shared" si="31"/>
        <v>2.9032258064516832</v>
      </c>
    </row>
    <row r="428" spans="10:14">
      <c r="J428" s="58">
        <f t="shared" si="32"/>
        <v>1.2485215136736572</v>
      </c>
      <c r="K428" s="58">
        <f t="shared" si="33"/>
        <v>2.845702768955503</v>
      </c>
      <c r="L428" s="58">
        <f t="shared" si="34"/>
        <v>5.6863269236184948</v>
      </c>
      <c r="M428" s="2">
        <f t="shared" si="35"/>
        <v>77.599999999999568</v>
      </c>
      <c r="N428" s="58">
        <f t="shared" si="31"/>
        <v>2.8865979381444014</v>
      </c>
    </row>
    <row r="429" spans="10:14">
      <c r="J429" s="58">
        <f t="shared" si="32"/>
        <v>1.2547033411401818</v>
      </c>
      <c r="K429" s="58">
        <f t="shared" si="33"/>
        <v>2.8548322828110906</v>
      </c>
      <c r="L429" s="58">
        <f t="shared" si="34"/>
        <v>5.6982483777361663</v>
      </c>
      <c r="M429" s="2">
        <f t="shared" si="35"/>
        <v>77.699999999999562</v>
      </c>
      <c r="N429" s="58">
        <f t="shared" si="31"/>
        <v>2.8700128700129426</v>
      </c>
    </row>
    <row r="430" spans="10:14">
      <c r="J430" s="58">
        <f t="shared" si="32"/>
        <v>1.2609030792402196</v>
      </c>
      <c r="K430" s="58">
        <f t="shared" si="33"/>
        <v>2.8639735081089328</v>
      </c>
      <c r="L430" s="58">
        <f t="shared" si="34"/>
        <v>5.7101708251354086</v>
      </c>
      <c r="M430" s="2">
        <f t="shared" si="35"/>
        <v>77.799999999999557</v>
      </c>
      <c r="N430" s="58">
        <f t="shared" si="31"/>
        <v>2.8534704370180677</v>
      </c>
    </row>
    <row r="431" spans="10:14">
      <c r="J431" s="58">
        <f t="shared" si="32"/>
        <v>1.2671207730912137</v>
      </c>
      <c r="K431" s="58">
        <f t="shared" si="33"/>
        <v>2.8731264504686402</v>
      </c>
      <c r="L431" s="58">
        <f t="shared" si="34"/>
        <v>5.7220942577590996</v>
      </c>
      <c r="M431" s="2">
        <f t="shared" si="35"/>
        <v>77.899999999999551</v>
      </c>
      <c r="N431" s="58">
        <f t="shared" si="31"/>
        <v>2.8369704749679823</v>
      </c>
    </row>
    <row r="432" spans="10:14">
      <c r="J432" s="58">
        <f t="shared" si="32"/>
        <v>1.2733564680932818</v>
      </c>
      <c r="K432" s="58">
        <f t="shared" si="33"/>
        <v>2.8822911155785569</v>
      </c>
      <c r="L432" s="58">
        <f t="shared" si="34"/>
        <v>5.7340186675921947</v>
      </c>
      <c r="M432" s="2">
        <f t="shared" si="35"/>
        <v>77.999999999999545</v>
      </c>
      <c r="N432" s="58">
        <f t="shared" si="31"/>
        <v>2.8205128205128958</v>
      </c>
    </row>
    <row r="433" spans="10:14">
      <c r="J433" s="58">
        <f t="shared" si="32"/>
        <v>1.2796102099303026</v>
      </c>
      <c r="K433" s="58">
        <f t="shared" si="33"/>
        <v>2.8914675091955511</v>
      </c>
      <c r="L433" s="58">
        <f t="shared" si="34"/>
        <v>5.7459440466614495</v>
      </c>
      <c r="M433" s="2">
        <f t="shared" si="35"/>
        <v>78.09999999999954</v>
      </c>
      <c r="N433" s="58">
        <f t="shared" si="31"/>
        <v>2.8040973111396408</v>
      </c>
    </row>
    <row r="434" spans="10:14">
      <c r="J434" s="58">
        <f t="shared" si="32"/>
        <v>1.285882044571018</v>
      </c>
      <c r="K434" s="58">
        <f t="shared" si="33"/>
        <v>2.9006556371448169</v>
      </c>
      <c r="L434" s="58">
        <f t="shared" si="34"/>
        <v>5.7578703870351582</v>
      </c>
      <c r="M434" s="2">
        <f t="shared" si="35"/>
        <v>78.199999999999534</v>
      </c>
      <c r="N434" s="58">
        <f t="shared" si="31"/>
        <v>2.7877237851663175</v>
      </c>
    </row>
    <row r="435" spans="10:14">
      <c r="J435" s="58">
        <f t="shared" si="32"/>
        <v>1.2921720182701433</v>
      </c>
      <c r="K435" s="58">
        <f t="shared" si="33"/>
        <v>2.9098555053196691</v>
      </c>
      <c r="L435" s="58">
        <f t="shared" si="34"/>
        <v>5.7697976808228866</v>
      </c>
      <c r="M435" s="2">
        <f t="shared" si="35"/>
        <v>78.299999999999528</v>
      </c>
      <c r="N435" s="58">
        <f t="shared" si="31"/>
        <v>2.7713920817369857</v>
      </c>
    </row>
    <row r="436" spans="10:14">
      <c r="J436" s="58">
        <f t="shared" si="32"/>
        <v>1.2984801775694874</v>
      </c>
      <c r="K436" s="58">
        <f t="shared" si="33"/>
        <v>2.9190671196813471</v>
      </c>
      <c r="L436" s="58">
        <f t="shared" si="34"/>
        <v>5.7817259201752051</v>
      </c>
      <c r="M436" s="2">
        <f t="shared" si="35"/>
        <v>78.399999999999523</v>
      </c>
      <c r="N436" s="58">
        <f t="shared" ref="N436:N499" si="36">IF(M436&gt;0,1000/M436-10,1000)</f>
        <v>2.7551020408164035</v>
      </c>
    </row>
    <row r="437" spans="10:14">
      <c r="J437" s="58">
        <f t="shared" si="32"/>
        <v>1.3048065692990916</v>
      </c>
      <c r="K437" s="58">
        <f t="shared" si="33"/>
        <v>2.9282904862588124</v>
      </c>
      <c r="L437" s="58">
        <f t="shared" si="34"/>
        <v>5.7936550972834286</v>
      </c>
      <c r="M437" s="2">
        <f t="shared" si="35"/>
        <v>78.499999999999517</v>
      </c>
      <c r="N437" s="58">
        <f t="shared" si="36"/>
        <v>2.7388535031847923</v>
      </c>
    </row>
    <row r="438" spans="10:14">
      <c r="J438" s="58">
        <f t="shared" si="32"/>
        <v>1.3111512405783723</v>
      </c>
      <c r="K438" s="58">
        <f t="shared" si="33"/>
        <v>2.9375256111485659</v>
      </c>
      <c r="L438" s="58">
        <f t="shared" si="34"/>
        <v>5.8055852043793656</v>
      </c>
      <c r="M438" s="2">
        <f t="shared" si="35"/>
        <v>78.599999999999511</v>
      </c>
      <c r="N438" s="58">
        <f t="shared" si="36"/>
        <v>2.7226463104326495</v>
      </c>
    </row>
    <row r="439" spans="10:14">
      <c r="J439" s="58">
        <f t="shared" si="32"/>
        <v>1.3175142388172791</v>
      </c>
      <c r="K439" s="58">
        <f t="shared" si="33"/>
        <v>2.9467725005144483</v>
      </c>
      <c r="L439" s="58">
        <f t="shared" si="34"/>
        <v>5.8175162337350503</v>
      </c>
      <c r="M439" s="2">
        <f t="shared" si="35"/>
        <v>78.699999999999505</v>
      </c>
      <c r="N439" s="58">
        <f t="shared" si="36"/>
        <v>2.7064803049556065</v>
      </c>
    </row>
    <row r="440" spans="10:14">
      <c r="J440" s="58">
        <f t="shared" si="32"/>
        <v>1.3238956117174605</v>
      </c>
      <c r="K440" s="58">
        <f t="shared" si="33"/>
        <v>2.9560311605874459</v>
      </c>
      <c r="L440" s="58">
        <f t="shared" si="34"/>
        <v>5.8294481776624893</v>
      </c>
      <c r="M440" s="2">
        <f t="shared" si="35"/>
        <v>78.7999999999995</v>
      </c>
      <c r="N440" s="58">
        <f t="shared" si="36"/>
        <v>2.6903553299493197</v>
      </c>
    </row>
    <row r="441" spans="10:14">
      <c r="J441" s="58">
        <f t="shared" si="32"/>
        <v>1.3302954072734499</v>
      </c>
      <c r="K441" s="58">
        <f t="shared" si="33"/>
        <v>2.9653015976655142</v>
      </c>
      <c r="L441" s="58">
        <f t="shared" si="34"/>
        <v>5.8413810285134131</v>
      </c>
      <c r="M441" s="2">
        <f t="shared" si="35"/>
        <v>78.899999999999494</v>
      </c>
      <c r="N441" s="58">
        <f t="shared" si="36"/>
        <v>2.6742712294043898</v>
      </c>
    </row>
    <row r="442" spans="10:14">
      <c r="J442" s="58">
        <f t="shared" si="32"/>
        <v>1.3367136737738521</v>
      </c>
      <c r="K442" s="58">
        <f t="shared" si="33"/>
        <v>2.9745838181133784</v>
      </c>
      <c r="L442" s="58">
        <f t="shared" si="34"/>
        <v>5.8533147786790147</v>
      </c>
      <c r="M442" s="2">
        <f t="shared" si="35"/>
        <v>78.999999999999488</v>
      </c>
      <c r="N442" s="58">
        <f t="shared" si="36"/>
        <v>2.6582278481013475</v>
      </c>
    </row>
    <row r="443" spans="10:14">
      <c r="J443" s="58">
        <f t="shared" si="32"/>
        <v>1.3431504598025517</v>
      </c>
      <c r="K443" s="58">
        <f t="shared" si="33"/>
        <v>2.9838778283623637</v>
      </c>
      <c r="L443" s="58">
        <f t="shared" si="34"/>
        <v>5.8652494205897137</v>
      </c>
      <c r="M443" s="2">
        <f t="shared" si="35"/>
        <v>79.099999999999483</v>
      </c>
      <c r="N443" s="58">
        <f t="shared" si="36"/>
        <v>2.6422250316056459</v>
      </c>
    </row>
    <row r="444" spans="10:14">
      <c r="J444" s="58">
        <f t="shared" ref="J444:J507" si="37">IF(D$5&gt;0.2*($N444),(D$5-0.2*($N444))^2/(D$5+0.8*($N444)),0)</f>
        <v>1.349605814239927</v>
      </c>
      <c r="K444" s="58">
        <f t="shared" ref="K444:K507" si="38">IF(E$5&gt;0.2*($N444),(E$5-0.2*($N444))^2/(E$5+0.8*($N444)),0)</f>
        <v>2.993183634910205</v>
      </c>
      <c r="L444" s="58">
        <f t="shared" ref="L444:L507" si="39">IF(F$5&gt;0.2*($N444),(F$5-0.2*($N444))^2/(F$5+0.8*($N444)),0)</f>
        <v>5.8771849467148991</v>
      </c>
      <c r="M444" s="2">
        <f t="shared" ref="M444:M507" si="40">M443+0.1</f>
        <v>79.199999999999477</v>
      </c>
      <c r="N444" s="58">
        <f t="shared" si="36"/>
        <v>2.6262626262627098</v>
      </c>
    </row>
    <row r="445" spans="10:14">
      <c r="J445" s="58">
        <f t="shared" si="37"/>
        <v>1.3560797862640768</v>
      </c>
      <c r="K445" s="58">
        <f t="shared" si="38"/>
        <v>3.0025012443208685</v>
      </c>
      <c r="L445" s="58">
        <f t="shared" si="39"/>
        <v>5.8891213495626813</v>
      </c>
      <c r="M445" s="2">
        <f t="shared" si="40"/>
        <v>79.299999999999471</v>
      </c>
      <c r="N445" s="58">
        <f t="shared" si="36"/>
        <v>2.610340479193022</v>
      </c>
    </row>
    <row r="446" spans="10:14">
      <c r="J446" s="58">
        <f t="shared" si="37"/>
        <v>1.3625724253520617</v>
      </c>
      <c r="K446" s="58">
        <f t="shared" si="38"/>
        <v>3.0118306632243761</v>
      </c>
      <c r="L446" s="58">
        <f t="shared" si="39"/>
        <v>5.9010586216796597</v>
      </c>
      <c r="M446" s="2">
        <f t="shared" si="40"/>
        <v>79.399999999999466</v>
      </c>
      <c r="N446" s="58">
        <f t="shared" si="36"/>
        <v>2.5944584382872389</v>
      </c>
    </row>
    <row r="447" spans="10:14">
      <c r="J447" s="58">
        <f t="shared" si="37"/>
        <v>1.3690837812811558</v>
      </c>
      <c r="K447" s="58">
        <f t="shared" si="38"/>
        <v>3.0211718983166285</v>
      </c>
      <c r="L447" s="58">
        <f t="shared" si="39"/>
        <v>5.9129967556506644</v>
      </c>
      <c r="M447" s="2">
        <f t="shared" si="40"/>
        <v>79.49999999999946</v>
      </c>
      <c r="N447" s="58">
        <f t="shared" si="36"/>
        <v>2.5786163522013439</v>
      </c>
    </row>
    <row r="448" spans="10:14">
      <c r="J448" s="58">
        <f t="shared" si="37"/>
        <v>1.3756139041301099</v>
      </c>
      <c r="K448" s="58">
        <f t="shared" si="38"/>
        <v>3.0305249563592334</v>
      </c>
      <c r="L448" s="58">
        <f t="shared" si="39"/>
        <v>5.9249357440985317</v>
      </c>
      <c r="M448" s="2">
        <f t="shared" si="40"/>
        <v>79.599999999999454</v>
      </c>
      <c r="N448" s="58">
        <f t="shared" si="36"/>
        <v>2.5628140703518447</v>
      </c>
    </row>
    <row r="449" spans="10:14">
      <c r="J449" s="58">
        <f t="shared" si="37"/>
        <v>1.382162844280427</v>
      </c>
      <c r="K449" s="58">
        <f t="shared" si="38"/>
        <v>3.0398898441793332</v>
      </c>
      <c r="L449" s="58">
        <f t="shared" si="39"/>
        <v>5.9368755796838544</v>
      </c>
      <c r="M449" s="2">
        <f t="shared" si="40"/>
        <v>79.699999999999449</v>
      </c>
      <c r="N449" s="58">
        <f t="shared" si="36"/>
        <v>2.5470514429110036</v>
      </c>
    </row>
    <row r="450" spans="10:14">
      <c r="J450" s="58">
        <f t="shared" si="37"/>
        <v>1.3887306524176537</v>
      </c>
      <c r="K450" s="58">
        <f t="shared" si="38"/>
        <v>3.0492665686694367</v>
      </c>
      <c r="L450" s="58">
        <f t="shared" si="39"/>
        <v>5.9488162551047523</v>
      </c>
      <c r="M450" s="2">
        <f t="shared" si="40"/>
        <v>79.799999999999443</v>
      </c>
      <c r="N450" s="58">
        <f t="shared" si="36"/>
        <v>2.5313283208020927</v>
      </c>
    </row>
    <row r="451" spans="10:14">
      <c r="J451" s="58">
        <f t="shared" si="37"/>
        <v>1.395317379532677</v>
      </c>
      <c r="K451" s="58">
        <f t="shared" si="38"/>
        <v>3.0586551367872468</v>
      </c>
      <c r="L451" s="58">
        <f t="shared" si="39"/>
        <v>5.9607577630966277</v>
      </c>
      <c r="M451" s="2">
        <f t="shared" si="40"/>
        <v>79.899999999999437</v>
      </c>
      <c r="N451" s="58">
        <f t="shared" si="36"/>
        <v>2.5156445556947062</v>
      </c>
    </row>
    <row r="452" spans="10:14">
      <c r="J452" s="58">
        <f t="shared" si="37"/>
        <v>1.4019230769230395</v>
      </c>
      <c r="K452" s="58">
        <f t="shared" si="38"/>
        <v>3.0680555555555027</v>
      </c>
      <c r="L452" s="58">
        <f t="shared" si="39"/>
        <v>5.9727000964319474</v>
      </c>
      <c r="M452" s="2">
        <f t="shared" si="40"/>
        <v>79.999999999999432</v>
      </c>
      <c r="N452" s="58">
        <f t="shared" si="36"/>
        <v>2.5000000000000888</v>
      </c>
    </row>
    <row r="453" spans="10:14">
      <c r="J453" s="58">
        <f t="shared" si="37"/>
        <v>1.4085477961942652</v>
      </c>
      <c r="K453" s="58">
        <f t="shared" si="38"/>
        <v>3.077467832061811</v>
      </c>
      <c r="L453" s="58">
        <f t="shared" si="39"/>
        <v>5.9846432479199931</v>
      </c>
      <c r="M453" s="2">
        <f t="shared" si="40"/>
        <v>80.099999999999426</v>
      </c>
      <c r="N453" s="58">
        <f t="shared" si="36"/>
        <v>2.4843945068665061</v>
      </c>
    </row>
    <row r="454" spans="10:14">
      <c r="J454" s="58">
        <f t="shared" si="37"/>
        <v>1.4151915892611959</v>
      </c>
      <c r="K454" s="58">
        <f t="shared" si="38"/>
        <v>3.0868919734584868</v>
      </c>
      <c r="L454" s="58">
        <f t="shared" si="39"/>
        <v>5.9965872104066476</v>
      </c>
      <c r="M454" s="2">
        <f t="shared" si="40"/>
        <v>80.19999999999942</v>
      </c>
      <c r="N454" s="58">
        <f t="shared" si="36"/>
        <v>2.468827930174653</v>
      </c>
    </row>
    <row r="455" spans="10:14">
      <c r="J455" s="58">
        <f t="shared" si="37"/>
        <v>1.4218545083493439</v>
      </c>
      <c r="K455" s="58">
        <f t="shared" si="38"/>
        <v>3.0963279869623905</v>
      </c>
      <c r="L455" s="58">
        <f t="shared" si="39"/>
        <v>6.0085319767741554</v>
      </c>
      <c r="M455" s="2">
        <f t="shared" si="40"/>
        <v>80.299999999999415</v>
      </c>
      <c r="N455" s="58">
        <f t="shared" si="36"/>
        <v>2.4533001245330919</v>
      </c>
    </row>
    <row r="456" spans="10:14">
      <c r="J456" s="58">
        <f t="shared" si="37"/>
        <v>1.4285366059962541</v>
      </c>
      <c r="K456" s="58">
        <f t="shared" si="38"/>
        <v>3.1057758798547752</v>
      </c>
      <c r="L456" s="58">
        <f t="shared" si="39"/>
        <v>6.0204775399409041</v>
      </c>
      <c r="M456" s="2">
        <f t="shared" si="40"/>
        <v>80.399999999999409</v>
      </c>
      <c r="N456" s="58">
        <f t="shared" si="36"/>
        <v>2.4378109452737231</v>
      </c>
    </row>
    <row r="457" spans="10:14">
      <c r="J457" s="58">
        <f t="shared" si="37"/>
        <v>1.435237935052881</v>
      </c>
      <c r="K457" s="58">
        <f t="shared" si="38"/>
        <v>3.1152356594811264</v>
      </c>
      <c r="L457" s="58">
        <f t="shared" si="39"/>
        <v>6.0324238928611962</v>
      </c>
      <c r="M457" s="2">
        <f t="shared" si="40"/>
        <v>80.499999999999403</v>
      </c>
      <c r="N457" s="58">
        <f t="shared" si="36"/>
        <v>2.4223602484472977</v>
      </c>
    </row>
    <row r="458" spans="10:14">
      <c r="J458" s="58">
        <f t="shared" si="37"/>
        <v>1.4419585486849766</v>
      </c>
      <c r="K458" s="58">
        <f t="shared" si="38"/>
        <v>3.1247073332510116</v>
      </c>
      <c r="L458" s="58">
        <f t="shared" si="39"/>
        <v>6.0443710285250249</v>
      </c>
      <c r="M458" s="2">
        <f t="shared" si="40"/>
        <v>80.599999999999397</v>
      </c>
      <c r="N458" s="58">
        <f t="shared" si="36"/>
        <v>2.4069478908189517</v>
      </c>
    </row>
    <row r="459" spans="10:14">
      <c r="J459" s="58">
        <f t="shared" si="37"/>
        <v>1.4486985003744928</v>
      </c>
      <c r="K459" s="58">
        <f t="shared" si="38"/>
        <v>3.1341909086379247</v>
      </c>
      <c r="L459" s="58">
        <f t="shared" si="39"/>
        <v>6.0563189399578556</v>
      </c>
      <c r="M459" s="2">
        <f t="shared" si="40"/>
        <v>80.699999999999392</v>
      </c>
      <c r="N459" s="58">
        <f t="shared" si="36"/>
        <v>2.3915737298637865</v>
      </c>
    </row>
    <row r="460" spans="10:14">
      <c r="J460" s="58">
        <f t="shared" si="37"/>
        <v>1.4554578439209962</v>
      </c>
      <c r="K460" s="58">
        <f t="shared" si="38"/>
        <v>3.1436863931791366</v>
      </c>
      <c r="L460" s="58">
        <f t="shared" si="39"/>
        <v>6.0682676202204044</v>
      </c>
      <c r="M460" s="2">
        <f t="shared" si="40"/>
        <v>80.799999999999386</v>
      </c>
      <c r="N460" s="58">
        <f t="shared" si="36"/>
        <v>2.3762376237624707</v>
      </c>
    </row>
    <row r="461" spans="10:14">
      <c r="J461" s="58">
        <f t="shared" si="37"/>
        <v>1.4622366334430972</v>
      </c>
      <c r="K461" s="58">
        <f t="shared" si="38"/>
        <v>3.1531937944755493</v>
      </c>
      <c r="L461" s="58">
        <f t="shared" si="39"/>
        <v>6.0802170624084217</v>
      </c>
      <c r="M461" s="2">
        <f t="shared" si="40"/>
        <v>80.89999999999938</v>
      </c>
      <c r="N461" s="58">
        <f t="shared" si="36"/>
        <v>2.360939431396881</v>
      </c>
    </row>
    <row r="462" spans="10:14">
      <c r="J462" s="58">
        <f t="shared" si="37"/>
        <v>1.4690349233798874</v>
      </c>
      <c r="K462" s="58">
        <f t="shared" si="38"/>
        <v>3.1627131201915439</v>
      </c>
      <c r="L462" s="58">
        <f t="shared" si="39"/>
        <v>6.0921672596524736</v>
      </c>
      <c r="M462" s="2">
        <f t="shared" si="40"/>
        <v>80.999999999999375</v>
      </c>
      <c r="N462" s="58">
        <f t="shared" si="36"/>
        <v>2.3456790123457747</v>
      </c>
    </row>
    <row r="463" spans="10:14">
      <c r="J463" s="58">
        <f t="shared" si="37"/>
        <v>1.4758527684923988</v>
      </c>
      <c r="K463" s="58">
        <f t="shared" si="38"/>
        <v>3.1722443780548431</v>
      </c>
      <c r="L463" s="58">
        <f t="shared" si="39"/>
        <v>6.1041182051177296</v>
      </c>
      <c r="M463" s="2">
        <f t="shared" si="40"/>
        <v>81.099999999999369</v>
      </c>
      <c r="N463" s="58">
        <f t="shared" si="36"/>
        <v>2.3304562268804911</v>
      </c>
    </row>
    <row r="464" spans="10:14">
      <c r="J464" s="58">
        <f t="shared" si="37"/>
        <v>1.4826902238650683</v>
      </c>
      <c r="K464" s="58">
        <f t="shared" si="38"/>
        <v>3.1817875758563643</v>
      </c>
      <c r="L464" s="58">
        <f t="shared" si="39"/>
        <v>6.1160698920037477</v>
      </c>
      <c r="M464" s="2">
        <f t="shared" si="40"/>
        <v>81.199999999999363</v>
      </c>
      <c r="N464" s="58">
        <f t="shared" si="36"/>
        <v>2.3152709359606884</v>
      </c>
    </row>
    <row r="465" spans="10:14">
      <c r="J465" s="58">
        <f t="shared" si="37"/>
        <v>1.4895473449072207</v>
      </c>
      <c r="K465" s="58">
        <f t="shared" si="38"/>
        <v>3.1913427214500767</v>
      </c>
      <c r="L465" s="58">
        <f t="shared" si="39"/>
        <v>6.128022313544264</v>
      </c>
      <c r="M465" s="2">
        <f t="shared" si="40"/>
        <v>81.299999999999358</v>
      </c>
      <c r="N465" s="58">
        <f t="shared" si="36"/>
        <v>2.3001230012301086</v>
      </c>
    </row>
    <row r="466" spans="10:14">
      <c r="J466" s="58">
        <f t="shared" si="37"/>
        <v>1.4964241873545567</v>
      </c>
      <c r="K466" s="58">
        <f t="shared" si="38"/>
        <v>3.2009098227528594</v>
      </c>
      <c r="L466" s="58">
        <f t="shared" si="39"/>
        <v>6.1399754630069765</v>
      </c>
      <c r="M466" s="2">
        <f t="shared" si="40"/>
        <v>81.399999999999352</v>
      </c>
      <c r="N466" s="58">
        <f t="shared" si="36"/>
        <v>2.2850122850123835</v>
      </c>
    </row>
    <row r="467" spans="10:14">
      <c r="J467" s="58">
        <f t="shared" si="37"/>
        <v>1.5033208072706743</v>
      </c>
      <c r="K467" s="58">
        <f t="shared" si="38"/>
        <v>3.2104888877443765</v>
      </c>
      <c r="L467" s="58">
        <f t="shared" si="39"/>
        <v>6.151929333693352</v>
      </c>
      <c r="M467" s="2">
        <f t="shared" si="40"/>
        <v>81.499999999999346</v>
      </c>
      <c r="N467" s="58">
        <f t="shared" si="36"/>
        <v>2.2699386503068464</v>
      </c>
    </row>
    <row r="468" spans="10:14">
      <c r="J468" s="58">
        <f t="shared" si="37"/>
        <v>1.5102372610485748</v>
      </c>
      <c r="K468" s="58">
        <f t="shared" si="38"/>
        <v>3.2200799244669245</v>
      </c>
      <c r="L468" s="58">
        <f t="shared" si="39"/>
        <v>6.1638839189383985</v>
      </c>
      <c r="M468" s="2">
        <f t="shared" si="40"/>
        <v>81.599999999999341</v>
      </c>
      <c r="N468" s="58">
        <f t="shared" si="36"/>
        <v>2.2549019607844123</v>
      </c>
    </row>
    <row r="469" spans="10:14">
      <c r="J469" s="58">
        <f t="shared" si="37"/>
        <v>1.5171736054122089</v>
      </c>
      <c r="K469" s="58">
        <f t="shared" si="38"/>
        <v>3.2296829410253096</v>
      </c>
      <c r="L469" s="58">
        <f t="shared" si="39"/>
        <v>6.1758392121104748</v>
      </c>
      <c r="M469" s="2">
        <f t="shared" si="40"/>
        <v>81.699999999999335</v>
      </c>
      <c r="N469" s="58">
        <f t="shared" si="36"/>
        <v>2.2399020807834535</v>
      </c>
    </row>
    <row r="470" spans="10:14">
      <c r="J470" s="58">
        <f t="shared" si="37"/>
        <v>1.5241298974180237</v>
      </c>
      <c r="K470" s="58">
        <f t="shared" si="38"/>
        <v>3.2392979455867108</v>
      </c>
      <c r="L470" s="58">
        <f t="shared" si="39"/>
        <v>6.1877952066110833</v>
      </c>
      <c r="M470" s="2">
        <f t="shared" si="40"/>
        <v>81.799999999999329</v>
      </c>
      <c r="N470" s="58">
        <f t="shared" si="36"/>
        <v>2.2249388753057229</v>
      </c>
    </row>
    <row r="471" spans="10:14">
      <c r="J471" s="58">
        <f t="shared" si="37"/>
        <v>1.5311061944565207</v>
      </c>
      <c r="K471" s="58">
        <f t="shared" si="38"/>
        <v>3.2489249463805492</v>
      </c>
      <c r="L471" s="58">
        <f t="shared" si="39"/>
        <v>6.1997518958746642</v>
      </c>
      <c r="M471" s="2">
        <f t="shared" si="40"/>
        <v>81.899999999999324</v>
      </c>
      <c r="N471" s="58">
        <f t="shared" si="36"/>
        <v>2.2100122100123105</v>
      </c>
    </row>
    <row r="472" spans="10:14">
      <c r="J472" s="58">
        <f t="shared" si="37"/>
        <v>1.5381025542538411</v>
      </c>
      <c r="K472" s="58">
        <f t="shared" si="38"/>
        <v>3.2585639516983576</v>
      </c>
      <c r="L472" s="58">
        <f t="shared" si="39"/>
        <v>6.2117092733683945</v>
      </c>
      <c r="M472" s="2">
        <f t="shared" si="40"/>
        <v>81.999999999999318</v>
      </c>
      <c r="N472" s="58">
        <f t="shared" si="36"/>
        <v>2.1951219512196136</v>
      </c>
    </row>
    <row r="473" spans="10:14">
      <c r="J473" s="58">
        <f t="shared" si="37"/>
        <v>1.5451190348733501</v>
      </c>
      <c r="K473" s="58">
        <f t="shared" si="38"/>
        <v>3.2682149698936573</v>
      </c>
      <c r="L473" s="58">
        <f t="shared" si="39"/>
        <v>6.223667332591992</v>
      </c>
      <c r="M473" s="2">
        <f t="shared" si="40"/>
        <v>82.099999999999312</v>
      </c>
      <c r="N473" s="58">
        <f t="shared" si="36"/>
        <v>2.1802679658953519</v>
      </c>
    </row>
    <row r="474" spans="10:14">
      <c r="J474" s="58">
        <f t="shared" si="37"/>
        <v>1.5521556947172459</v>
      </c>
      <c r="K474" s="58">
        <f t="shared" si="38"/>
        <v>3.2778780093818289</v>
      </c>
      <c r="L474" s="58">
        <f t="shared" si="39"/>
        <v>6.2356260670775177</v>
      </c>
      <c r="M474" s="2">
        <f t="shared" si="40"/>
        <v>82.199999999999307</v>
      </c>
      <c r="N474" s="58">
        <f t="shared" si="36"/>
        <v>2.1654501216546045</v>
      </c>
    </row>
    <row r="475" spans="10:14">
      <c r="J475" s="58">
        <f t="shared" si="37"/>
        <v>1.5592125925281777</v>
      </c>
      <c r="K475" s="58">
        <f t="shared" si="38"/>
        <v>3.2875530786399891</v>
      </c>
      <c r="L475" s="58">
        <f t="shared" si="39"/>
        <v>6.2475854703891747</v>
      </c>
      <c r="M475" s="2">
        <f t="shared" si="40"/>
        <v>82.299999999999301</v>
      </c>
      <c r="N475" s="58">
        <f t="shared" si="36"/>
        <v>2.1506682867558755</v>
      </c>
    </row>
    <row r="476" spans="10:14">
      <c r="J476" s="58">
        <f t="shared" si="37"/>
        <v>1.5662897873908803</v>
      </c>
      <c r="K476" s="58">
        <f t="shared" si="38"/>
        <v>3.2972401862068654</v>
      </c>
      <c r="L476" s="58">
        <f t="shared" si="39"/>
        <v>6.259545536123114</v>
      </c>
      <c r="M476" s="2">
        <f t="shared" si="40"/>
        <v>82.399999999999295</v>
      </c>
      <c r="N476" s="58">
        <f t="shared" si="36"/>
        <v>2.1359223300971912</v>
      </c>
    </row>
    <row r="477" spans="10:14">
      <c r="J477" s="58">
        <f t="shared" si="37"/>
        <v>1.5733873387338229</v>
      </c>
      <c r="K477" s="58">
        <f t="shared" si="38"/>
        <v>3.306939340682681</v>
      </c>
      <c r="L477" s="58">
        <f t="shared" si="39"/>
        <v>6.2715062579072436</v>
      </c>
      <c r="M477" s="2">
        <f t="shared" si="40"/>
        <v>82.499999999999289</v>
      </c>
      <c r="N477" s="58">
        <f t="shared" si="36"/>
        <v>2.1212121212122259</v>
      </c>
    </row>
    <row r="478" spans="10:14">
      <c r="J478" s="58">
        <f t="shared" si="37"/>
        <v>1.5805053063308716</v>
      </c>
      <c r="K478" s="58">
        <f t="shared" si="38"/>
        <v>3.3166505507290305</v>
      </c>
      <c r="L478" s="58">
        <f t="shared" si="39"/>
        <v>6.2834676294010343</v>
      </c>
      <c r="M478" s="2">
        <f t="shared" si="40"/>
        <v>82.599999999999284</v>
      </c>
      <c r="N478" s="58">
        <f t="shared" si="36"/>
        <v>2.1065375302664489</v>
      </c>
    </row>
    <row r="479" spans="10:14">
      <c r="J479" s="58">
        <f t="shared" si="37"/>
        <v>1.5876437503029657</v>
      </c>
      <c r="K479" s="58">
        <f t="shared" si="38"/>
        <v>3.3263738250687638</v>
      </c>
      <c r="L479" s="58">
        <f t="shared" si="39"/>
        <v>6.2954296442953277</v>
      </c>
      <c r="M479" s="2">
        <f t="shared" si="40"/>
        <v>82.699999999999278</v>
      </c>
      <c r="N479" s="58">
        <f t="shared" si="36"/>
        <v>2.0918984280533106</v>
      </c>
    </row>
    <row r="480" spans="10:14">
      <c r="J480" s="58">
        <f t="shared" si="37"/>
        <v>1.5948027311198143</v>
      </c>
      <c r="K480" s="58">
        <f t="shared" si="38"/>
        <v>3.3361091724858718</v>
      </c>
      <c r="L480" s="58">
        <f t="shared" si="39"/>
        <v>6.3073922963121518</v>
      </c>
      <c r="M480" s="2">
        <f t="shared" si="40"/>
        <v>82.799999999999272</v>
      </c>
      <c r="N480" s="58">
        <f t="shared" si="36"/>
        <v>2.0772946859904451</v>
      </c>
    </row>
    <row r="481" spans="10:14">
      <c r="J481" s="58">
        <f t="shared" si="37"/>
        <v>1.6019823096015988</v>
      </c>
      <c r="K481" s="58">
        <f t="shared" si="38"/>
        <v>3.3458566018253704</v>
      </c>
      <c r="L481" s="58">
        <f t="shared" si="39"/>
        <v>6.3193555792045224</v>
      </c>
      <c r="M481" s="2">
        <f t="shared" si="40"/>
        <v>82.899999999999267</v>
      </c>
      <c r="N481" s="58">
        <f t="shared" si="36"/>
        <v>2.062726176115909</v>
      </c>
    </row>
    <row r="482" spans="10:14">
      <c r="J482" s="58">
        <f t="shared" si="37"/>
        <v>1.6091825469206973</v>
      </c>
      <c r="K482" s="58">
        <f t="shared" si="38"/>
        <v>3.355616121993187</v>
      </c>
      <c r="L482" s="58">
        <f t="shared" si="39"/>
        <v>6.3313194867562688</v>
      </c>
      <c r="M482" s="2">
        <f t="shared" si="40"/>
        <v>82.999999999999261</v>
      </c>
      <c r="N482" s="58">
        <f t="shared" si="36"/>
        <v>2.0481927710844445</v>
      </c>
    </row>
    <row r="483" spans="10:14">
      <c r="J483" s="58">
        <f t="shared" si="37"/>
        <v>1.6164035046034224</v>
      </c>
      <c r="K483" s="58">
        <f t="shared" si="38"/>
        <v>3.3653877419560478</v>
      </c>
      <c r="L483" s="58">
        <f t="shared" si="39"/>
        <v>6.3432840127818348</v>
      </c>
      <c r="M483" s="2">
        <f t="shared" si="40"/>
        <v>83.099999999999255</v>
      </c>
      <c r="N483" s="58">
        <f t="shared" si="36"/>
        <v>2.0336943441637665</v>
      </c>
    </row>
    <row r="484" spans="10:14">
      <c r="J484" s="58">
        <f t="shared" si="37"/>
        <v>1.6236452445317715</v>
      </c>
      <c r="K484" s="58">
        <f t="shared" si="38"/>
        <v>3.3751714707413747</v>
      </c>
      <c r="L484" s="58">
        <f t="shared" si="39"/>
        <v>6.3552491511261104</v>
      </c>
      <c r="M484" s="2">
        <f t="shared" si="40"/>
        <v>83.19999999999925</v>
      </c>
      <c r="N484" s="58">
        <f t="shared" si="36"/>
        <v>2.0192307692308784</v>
      </c>
    </row>
    <row r="485" spans="10:14">
      <c r="J485" s="58">
        <f t="shared" si="37"/>
        <v>1.6309078289451975</v>
      </c>
      <c r="K485" s="58">
        <f t="shared" si="38"/>
        <v>3.3849673174371695</v>
      </c>
      <c r="L485" s="58">
        <f t="shared" si="39"/>
        <v>6.3672148956642349</v>
      </c>
      <c r="M485" s="2">
        <f t="shared" si="40"/>
        <v>83.299999999999244</v>
      </c>
      <c r="N485" s="58">
        <f t="shared" si="36"/>
        <v>2.0048019207684167</v>
      </c>
    </row>
    <row r="486" spans="10:14">
      <c r="J486" s="58">
        <f t="shared" si="37"/>
        <v>1.6381913204423892</v>
      </c>
      <c r="K486" s="58">
        <f t="shared" si="38"/>
        <v>3.3947752911919102</v>
      </c>
      <c r="L486" s="58">
        <f t="shared" si="39"/>
        <v>6.3791812403014223</v>
      </c>
      <c r="M486" s="2">
        <f t="shared" si="40"/>
        <v>83.399999999999238</v>
      </c>
      <c r="N486" s="58">
        <f t="shared" si="36"/>
        <v>1.9904076738610215</v>
      </c>
    </row>
    <row r="487" spans="10:14">
      <c r="J487" s="58">
        <f t="shared" si="37"/>
        <v>1.6454957819830718</v>
      </c>
      <c r="K487" s="58">
        <f t="shared" si="38"/>
        <v>3.4045954012144497</v>
      </c>
      <c r="L487" s="58">
        <f t="shared" si="39"/>
        <v>6.3911481789727791</v>
      </c>
      <c r="M487" s="2">
        <f t="shared" si="40"/>
        <v>83.499999999999233</v>
      </c>
      <c r="N487" s="58">
        <f t="shared" si="36"/>
        <v>1.9760479041917272</v>
      </c>
    </row>
    <row r="488" spans="10:14">
      <c r="J488" s="58">
        <f t="shared" si="37"/>
        <v>1.6528212768898183</v>
      </c>
      <c r="K488" s="58">
        <f t="shared" si="38"/>
        <v>3.4144276567739049</v>
      </c>
      <c r="L488" s="58">
        <f t="shared" si="39"/>
        <v>6.4031157056431258</v>
      </c>
      <c r="M488" s="2">
        <f t="shared" si="40"/>
        <v>83.599999999999227</v>
      </c>
      <c r="N488" s="58">
        <f t="shared" si="36"/>
        <v>1.9617224880383883</v>
      </c>
    </row>
    <row r="489" spans="10:14">
      <c r="J489" s="58">
        <f t="shared" si="37"/>
        <v>1.6601678688498833</v>
      </c>
      <c r="K489" s="58">
        <f t="shared" si="38"/>
        <v>3.4242720671995563</v>
      </c>
      <c r="L489" s="58">
        <f t="shared" si="39"/>
        <v>6.4150838143068176</v>
      </c>
      <c r="M489" s="2">
        <f t="shared" si="40"/>
        <v>83.699999999999221</v>
      </c>
      <c r="N489" s="58">
        <f t="shared" si="36"/>
        <v>1.9474313022701235</v>
      </c>
    </row>
    <row r="490" spans="10:14">
      <c r="J490" s="58">
        <f t="shared" si="37"/>
        <v>1.6675356219170452</v>
      </c>
      <c r="K490" s="58">
        <f t="shared" si="38"/>
        <v>3.4341286418807546</v>
      </c>
      <c r="L490" s="58">
        <f t="shared" si="39"/>
        <v>6.4270524989875746</v>
      </c>
      <c r="M490" s="2">
        <f t="shared" si="40"/>
        <v>83.799999999999216</v>
      </c>
      <c r="N490" s="58">
        <f t="shared" si="36"/>
        <v>1.9331742243437873</v>
      </c>
    </row>
    <row r="491" spans="10:14">
      <c r="J491" s="58">
        <f t="shared" si="37"/>
        <v>1.6749246005134699</v>
      </c>
      <c r="K491" s="58">
        <f t="shared" si="38"/>
        <v>3.4439973902668126</v>
      </c>
      <c r="L491" s="58">
        <f t="shared" si="39"/>
        <v>6.4390217537382961</v>
      </c>
      <c r="M491" s="2">
        <f t="shared" si="40"/>
        <v>83.89999999999921</v>
      </c>
      <c r="N491" s="58">
        <f t="shared" si="36"/>
        <v>1.9189511323004691</v>
      </c>
    </row>
    <row r="492" spans="10:14">
      <c r="J492" s="58">
        <f t="shared" si="37"/>
        <v>1.6823348694315849</v>
      </c>
      <c r="K492" s="58">
        <f t="shared" si="38"/>
        <v>3.4538783218669122</v>
      </c>
      <c r="L492" s="58">
        <f t="shared" si="39"/>
        <v>6.4509915726408966</v>
      </c>
      <c r="M492" s="2">
        <f t="shared" si="40"/>
        <v>83.999999999999204</v>
      </c>
      <c r="N492" s="58">
        <f t="shared" si="36"/>
        <v>1.904761904762017</v>
      </c>
    </row>
    <row r="493" spans="10:14">
      <c r="J493" s="58">
        <f t="shared" si="37"/>
        <v>1.6897664938359787</v>
      </c>
      <c r="K493" s="58">
        <f t="shared" si="38"/>
        <v>3.4637714462500071</v>
      </c>
      <c r="L493" s="58">
        <f t="shared" si="39"/>
        <v>6.4629619498061261</v>
      </c>
      <c r="M493" s="2">
        <f t="shared" si="40"/>
        <v>84.099999999999199</v>
      </c>
      <c r="N493" s="58">
        <f t="shared" si="36"/>
        <v>1.8906064209275808</v>
      </c>
    </row>
    <row r="494" spans="10:14">
      <c r="J494" s="58">
        <f t="shared" si="37"/>
        <v>1.6972195392653064</v>
      </c>
      <c r="K494" s="58">
        <f t="shared" si="38"/>
        <v>3.4736767730447284</v>
      </c>
      <c r="L494" s="58">
        <f t="shared" si="39"/>
        <v>6.4749328793734025</v>
      </c>
      <c r="M494" s="2">
        <f t="shared" si="40"/>
        <v>84.199999999999193</v>
      </c>
      <c r="N494" s="58">
        <f t="shared" si="36"/>
        <v>1.8764845605701854</v>
      </c>
    </row>
    <row r="495" spans="10:14">
      <c r="J495" s="58">
        <f t="shared" si="37"/>
        <v>1.7046940716342183</v>
      </c>
      <c r="K495" s="58">
        <f t="shared" si="38"/>
        <v>3.4835943119392923</v>
      </c>
      <c r="L495" s="58">
        <f t="shared" si="39"/>
        <v>6.486904355510644</v>
      </c>
      <c r="M495" s="2">
        <f t="shared" si="40"/>
        <v>84.299999999999187</v>
      </c>
      <c r="N495" s="58">
        <f t="shared" si="36"/>
        <v>1.8623962040333293</v>
      </c>
    </row>
    <row r="496" spans="10:14">
      <c r="J496" s="58">
        <f t="shared" si="37"/>
        <v>1.7121901572353</v>
      </c>
      <c r="K496" s="58">
        <f t="shared" si="38"/>
        <v>3.4935240726814034</v>
      </c>
      <c r="L496" s="58">
        <f t="shared" si="39"/>
        <v>6.4988763724140881</v>
      </c>
      <c r="M496" s="2">
        <f t="shared" si="40"/>
        <v>84.399999999999181</v>
      </c>
      <c r="N496" s="58">
        <f t="shared" si="36"/>
        <v>1.8483412322276038</v>
      </c>
    </row>
    <row r="497" spans="10:14">
      <c r="J497" s="58">
        <f t="shared" si="37"/>
        <v>1.7197078627410349</v>
      </c>
      <c r="K497" s="58">
        <f t="shared" si="38"/>
        <v>3.5034660650781735</v>
      </c>
      <c r="L497" s="58">
        <f t="shared" si="39"/>
        <v>6.5108489243081413</v>
      </c>
      <c r="M497" s="2">
        <f t="shared" si="40"/>
        <v>84.499999999999176</v>
      </c>
      <c r="N497" s="58">
        <f t="shared" si="36"/>
        <v>1.8343195266273344</v>
      </c>
    </row>
    <row r="498" spans="10:14">
      <c r="J498" s="58">
        <f t="shared" si="37"/>
        <v>1.7272472552057805</v>
      </c>
      <c r="K498" s="58">
        <f t="shared" si="38"/>
        <v>3.5134202989960213</v>
      </c>
      <c r="L498" s="58">
        <f t="shared" si="39"/>
        <v>6.5228220054451942</v>
      </c>
      <c r="M498" s="2">
        <f t="shared" si="40"/>
        <v>84.59999999999917</v>
      </c>
      <c r="N498" s="58">
        <f t="shared" si="36"/>
        <v>1.8203309692672551</v>
      </c>
    </row>
    <row r="499" spans="10:14">
      <c r="J499" s="58">
        <f t="shared" si="37"/>
        <v>1.734808402067757</v>
      </c>
      <c r="K499" s="58">
        <f t="shared" si="38"/>
        <v>3.5233867843605928</v>
      </c>
      <c r="L499" s="58">
        <f t="shared" si="39"/>
        <v>6.5347956101054807</v>
      </c>
      <c r="M499" s="2">
        <f t="shared" si="40"/>
        <v>84.699999999999164</v>
      </c>
      <c r="N499" s="58">
        <f t="shared" si="36"/>
        <v>1.8063754427391956</v>
      </c>
    </row>
    <row r="500" spans="10:14">
      <c r="J500" s="58">
        <f t="shared" si="37"/>
        <v>1.7423913711510635</v>
      </c>
      <c r="K500" s="58">
        <f t="shared" si="38"/>
        <v>3.5333655311566763</v>
      </c>
      <c r="L500" s="58">
        <f t="shared" si="39"/>
        <v>6.5467697325968794</v>
      </c>
      <c r="M500" s="2">
        <f t="shared" si="40"/>
        <v>84.799999999999159</v>
      </c>
      <c r="N500" s="58">
        <f t="shared" ref="N500:N563" si="41">IF(M500&gt;0,1000/M500-10,1000)</f>
        <v>1.7924528301887968</v>
      </c>
    </row>
    <row r="501" spans="10:14">
      <c r="J501" s="58">
        <f t="shared" si="37"/>
        <v>1.7499962306677028</v>
      </c>
      <c r="K501" s="58">
        <f t="shared" si="38"/>
        <v>3.5433565494281094</v>
      </c>
      <c r="L501" s="58">
        <f t="shared" si="39"/>
        <v>6.558744367254782</v>
      </c>
      <c r="M501" s="2">
        <f t="shared" si="40"/>
        <v>84.899999999999153</v>
      </c>
      <c r="N501" s="58">
        <f t="shared" si="41"/>
        <v>1.7785630153122494</v>
      </c>
    </row>
    <row r="502" spans="10:14">
      <c r="J502" s="58">
        <f t="shared" si="37"/>
        <v>1.757623049219623</v>
      </c>
      <c r="K502" s="58">
        <f t="shared" si="38"/>
        <v>3.5533598492777041</v>
      </c>
      <c r="L502" s="58">
        <f t="shared" si="39"/>
        <v>6.5707195084419174</v>
      </c>
      <c r="M502" s="2">
        <f t="shared" si="40"/>
        <v>84.999999999999147</v>
      </c>
      <c r="N502" s="58">
        <f t="shared" si="41"/>
        <v>1.7647058823530593</v>
      </c>
    </row>
    <row r="503" spans="10:14">
      <c r="J503" s="58">
        <f t="shared" si="37"/>
        <v>1.7652718958007825</v>
      </c>
      <c r="K503" s="58">
        <f t="shared" si="38"/>
        <v>3.5633754408671576</v>
      </c>
      <c r="L503" s="58">
        <f t="shared" si="39"/>
        <v>6.5826951505481883</v>
      </c>
      <c r="M503" s="2">
        <f t="shared" si="40"/>
        <v>85.099999999999142</v>
      </c>
      <c r="N503" s="58">
        <f t="shared" si="41"/>
        <v>1.7508813160988268</v>
      </c>
    </row>
    <row r="504" spans="10:14">
      <c r="J504" s="58">
        <f t="shared" si="37"/>
        <v>1.7729428397992317</v>
      </c>
      <c r="K504" s="58">
        <f t="shared" si="38"/>
        <v>3.5734033344169789</v>
      </c>
      <c r="L504" s="58">
        <f t="shared" si="39"/>
        <v>6.594671287990522</v>
      </c>
      <c r="M504" s="2">
        <f t="shared" si="40"/>
        <v>85.199999999999136</v>
      </c>
      <c r="N504" s="58">
        <f t="shared" si="41"/>
        <v>1.737089201878053</v>
      </c>
    </row>
    <row r="505" spans="10:14">
      <c r="J505" s="58">
        <f t="shared" si="37"/>
        <v>1.7806359509992016</v>
      </c>
      <c r="K505" s="58">
        <f t="shared" si="38"/>
        <v>3.5834435402064031</v>
      </c>
      <c r="L505" s="58">
        <f t="shared" si="39"/>
        <v>6.6066479152126991</v>
      </c>
      <c r="M505" s="2">
        <f t="shared" si="40"/>
        <v>85.29999999999913</v>
      </c>
      <c r="N505" s="58">
        <f t="shared" si="41"/>
        <v>1.7233294255569778</v>
      </c>
    </row>
    <row r="506" spans="10:14">
      <c r="J506" s="58">
        <f t="shared" si="37"/>
        <v>1.7883512995832285</v>
      </c>
      <c r="K506" s="58">
        <f t="shared" si="38"/>
        <v>3.5934960685733186</v>
      </c>
      <c r="L506" s="58">
        <f t="shared" si="39"/>
        <v>6.6186250266852067</v>
      </c>
      <c r="M506" s="2">
        <f t="shared" si="40"/>
        <v>85.399999999999125</v>
      </c>
      <c r="N506" s="58">
        <f t="shared" si="41"/>
        <v>1.7096018735364193</v>
      </c>
    </row>
    <row r="507" spans="10:14">
      <c r="J507" s="58">
        <f t="shared" si="37"/>
        <v>1.7960889561342781</v>
      </c>
      <c r="K507" s="58">
        <f t="shared" si="38"/>
        <v>3.6035609299141846</v>
      </c>
      <c r="L507" s="58">
        <f t="shared" si="39"/>
        <v>6.630602616905076</v>
      </c>
      <c r="M507" s="2">
        <f t="shared" si="40"/>
        <v>85.499999999999119</v>
      </c>
      <c r="N507" s="58">
        <f t="shared" si="41"/>
        <v>1.695906432748659</v>
      </c>
    </row>
    <row r="508" spans="10:14">
      <c r="J508" s="58">
        <f t="shared" ref="J508:J571" si="42">IF(D$5&gt;0.2*($N508),(D$5-0.2*($N508))^2/(D$5+0.8*($N508)),0)</f>
        <v>1.8038489916379044</v>
      </c>
      <c r="K508" s="58">
        <f t="shared" ref="K508:K571" si="43">IF(E$5&gt;0.2*($N508),(E$5-0.2*($N508))^2/(E$5+0.8*($N508)),0)</f>
        <v>3.6136381346839626</v>
      </c>
      <c r="L508" s="58">
        <f t="shared" ref="L508:L571" si="44">IF(F$5&gt;0.2*($N508),(F$5-0.2*($N508))^2/(F$5+0.8*($N508)),0)</f>
        <v>6.6425806803957324</v>
      </c>
      <c r="M508" s="2">
        <f t="shared" ref="M508:M571" si="45">M507+0.1</f>
        <v>85.599999999999113</v>
      </c>
      <c r="N508" s="58">
        <f t="shared" si="41"/>
        <v>1.682242990654327</v>
      </c>
    </row>
    <row r="509" spans="10:14">
      <c r="J509" s="58">
        <f t="shared" si="42"/>
        <v>1.8116314774844109</v>
      </c>
      <c r="K509" s="58">
        <f t="shared" si="43"/>
        <v>3.6237276933960398</v>
      </c>
      <c r="L509" s="58">
        <f t="shared" si="44"/>
        <v>6.6545592117068324</v>
      </c>
      <c r="M509" s="2">
        <f t="shared" si="45"/>
        <v>85.699999999999108</v>
      </c>
      <c r="N509" s="58">
        <f t="shared" si="41"/>
        <v>1.6686114352393275</v>
      </c>
    </row>
    <row r="510" spans="10:14">
      <c r="J510" s="58">
        <f t="shared" si="42"/>
        <v>1.819436485471041</v>
      </c>
      <c r="K510" s="58">
        <f t="shared" si="43"/>
        <v>3.633829616622152</v>
      </c>
      <c r="L510" s="58">
        <f t="shared" si="44"/>
        <v>6.6665382054141222</v>
      </c>
      <c r="M510" s="2">
        <f t="shared" si="45"/>
        <v>85.799999999999102</v>
      </c>
      <c r="N510" s="58">
        <f t="shared" si="41"/>
        <v>1.6550116550117764</v>
      </c>
    </row>
    <row r="511" spans="10:14">
      <c r="J511" s="58">
        <f t="shared" si="42"/>
        <v>1.8272640878041837</v>
      </c>
      <c r="K511" s="58">
        <f t="shared" si="43"/>
        <v>3.6439439149923185</v>
      </c>
      <c r="L511" s="58">
        <f t="shared" si="44"/>
        <v>6.6785176561192809</v>
      </c>
      <c r="M511" s="2">
        <f t="shared" si="45"/>
        <v>85.899999999999096</v>
      </c>
      <c r="N511" s="58">
        <f t="shared" si="41"/>
        <v>1.6414435389989581</v>
      </c>
    </row>
    <row r="512" spans="10:14">
      <c r="J512" s="58">
        <f t="shared" si="42"/>
        <v>1.8351143571016004</v>
      </c>
      <c r="K512" s="58">
        <f t="shared" si="43"/>
        <v>3.6540705991947706</v>
      </c>
      <c r="L512" s="58">
        <f t="shared" si="44"/>
        <v>6.6904975584497537</v>
      </c>
      <c r="M512" s="2">
        <f t="shared" si="45"/>
        <v>85.999999999999091</v>
      </c>
      <c r="N512" s="58">
        <f t="shared" si="41"/>
        <v>1.6279069767443097</v>
      </c>
    </row>
    <row r="513" spans="10:14">
      <c r="J513" s="58">
        <f t="shared" si="42"/>
        <v>1.8429873663946632</v>
      </c>
      <c r="K513" s="58">
        <f t="shared" si="43"/>
        <v>3.6642096799758828</v>
      </c>
      <c r="L513" s="58">
        <f t="shared" si="44"/>
        <v>6.7024779070586407</v>
      </c>
      <c r="M513" s="2">
        <f t="shared" si="45"/>
        <v>86.099999999999085</v>
      </c>
      <c r="N513" s="58">
        <f t="shared" si="41"/>
        <v>1.6144018583044204</v>
      </c>
    </row>
    <row r="514" spans="10:14">
      <c r="J514" s="58">
        <f t="shared" si="42"/>
        <v>1.850883189130617</v>
      </c>
      <c r="K514" s="58">
        <f t="shared" si="43"/>
        <v>3.6743611681400998</v>
      </c>
      <c r="L514" s="58">
        <f t="shared" si="44"/>
        <v>6.7144586966245061</v>
      </c>
      <c r="M514" s="2">
        <f t="shared" si="45"/>
        <v>86.199999999999079</v>
      </c>
      <c r="N514" s="58">
        <f t="shared" si="41"/>
        <v>1.6009280742460632</v>
      </c>
    </row>
    <row r="515" spans="10:14">
      <c r="J515" s="58">
        <f t="shared" si="42"/>
        <v>1.8588018991748645</v>
      </c>
      <c r="K515" s="58">
        <f t="shared" si="43"/>
        <v>3.6845250745498803</v>
      </c>
      <c r="L515" s="58">
        <f t="shared" si="44"/>
        <v>6.7264399218512478</v>
      </c>
      <c r="M515" s="2">
        <f t="shared" si="45"/>
        <v>86.299999999999073</v>
      </c>
      <c r="N515" s="58">
        <f t="shared" si="41"/>
        <v>1.5874855156432304</v>
      </c>
    </row>
    <row r="516" spans="10:14">
      <c r="J516" s="58">
        <f t="shared" si="42"/>
        <v>1.8667435708132645</v>
      </c>
      <c r="K516" s="58">
        <f t="shared" si="43"/>
        <v>3.694701410125627</v>
      </c>
      <c r="L516" s="58">
        <f t="shared" si="44"/>
        <v>6.7384215774679674</v>
      </c>
      <c r="M516" s="2">
        <f t="shared" si="45"/>
        <v>86.399999999999068</v>
      </c>
      <c r="N516" s="58">
        <f t="shared" si="41"/>
        <v>1.5740740740741987</v>
      </c>
    </row>
    <row r="517" spans="10:14">
      <c r="J517" s="58">
        <f t="shared" si="42"/>
        <v>1.8747082787544471</v>
      </c>
      <c r="K517" s="58">
        <f t="shared" si="43"/>
        <v>3.70489018584562</v>
      </c>
      <c r="L517" s="58">
        <f t="shared" si="44"/>
        <v>6.7504036582287927</v>
      </c>
      <c r="M517" s="2">
        <f t="shared" si="45"/>
        <v>86.499999999999062</v>
      </c>
      <c r="N517" s="58">
        <f t="shared" si="41"/>
        <v>1.5606936416186219</v>
      </c>
    </row>
    <row r="518" spans="10:14">
      <c r="J518" s="58">
        <f t="shared" si="42"/>
        <v>1.8826960981321585</v>
      </c>
      <c r="K518" s="58">
        <f t="shared" si="43"/>
        <v>3.715091412745958</v>
      </c>
      <c r="L518" s="58">
        <f t="shared" si="44"/>
        <v>6.7623861589127543</v>
      </c>
      <c r="M518" s="2">
        <f t="shared" si="45"/>
        <v>86.599999999999056</v>
      </c>
      <c r="N518" s="58">
        <f t="shared" si="41"/>
        <v>1.5473441108546293</v>
      </c>
    </row>
    <row r="519" spans="10:14">
      <c r="J519" s="58">
        <f t="shared" si="42"/>
        <v>1.8907071045076176</v>
      </c>
      <c r="K519" s="58">
        <f t="shared" si="43"/>
        <v>3.7253051019205001</v>
      </c>
      <c r="L519" s="58">
        <f t="shared" si="44"/>
        <v>6.7743690743236362</v>
      </c>
      <c r="M519" s="2">
        <f t="shared" si="45"/>
        <v>86.699999999999051</v>
      </c>
      <c r="N519" s="58">
        <f t="shared" si="41"/>
        <v>1.5340253748559505</v>
      </c>
    </row>
    <row r="520" spans="10:14">
      <c r="J520" s="58">
        <f t="shared" si="42"/>
        <v>1.8987413738718908</v>
      </c>
      <c r="K520" s="58">
        <f t="shared" si="43"/>
        <v>3.7355312645207976</v>
      </c>
      <c r="L520" s="58">
        <f t="shared" si="44"/>
        <v>6.7863523992898358</v>
      </c>
      <c r="M520" s="2">
        <f t="shared" si="45"/>
        <v>86.799999999999045</v>
      </c>
      <c r="N520" s="58">
        <f t="shared" si="41"/>
        <v>1.5207373271890674</v>
      </c>
    </row>
    <row r="521" spans="10:14">
      <c r="J521" s="58">
        <f t="shared" si="42"/>
        <v>1.9067989826482974</v>
      </c>
      <c r="K521" s="58">
        <f t="shared" si="43"/>
        <v>3.745769911756045</v>
      </c>
      <c r="L521" s="58">
        <f t="shared" si="44"/>
        <v>6.7983361286642134</v>
      </c>
      <c r="M521" s="2">
        <f t="shared" si="45"/>
        <v>86.899999999999039</v>
      </c>
      <c r="N521" s="58">
        <f t="shared" si="41"/>
        <v>1.5074798619103689</v>
      </c>
    </row>
    <row r="522" spans="10:14">
      <c r="J522" s="58">
        <f t="shared" si="42"/>
        <v>1.9148800076948194</v>
      </c>
      <c r="K522" s="58">
        <f t="shared" si="43"/>
        <v>3.7560210548930155</v>
      </c>
      <c r="L522" s="58">
        <f t="shared" si="44"/>
        <v>6.8103202573239674</v>
      </c>
      <c r="M522" s="2">
        <f t="shared" si="45"/>
        <v>86.999999999999034</v>
      </c>
      <c r="N522" s="58">
        <f t="shared" si="41"/>
        <v>1.4942528735633456</v>
      </c>
    </row>
    <row r="523" spans="10:14">
      <c r="J523" s="58">
        <f t="shared" si="42"/>
        <v>1.9229845263065466</v>
      </c>
      <c r="K523" s="58">
        <f t="shared" si="43"/>
        <v>3.7662847052560076</v>
      </c>
      <c r="L523" s="58">
        <f t="shared" si="44"/>
        <v>6.8223047801704668</v>
      </c>
      <c r="M523" s="2">
        <f t="shared" si="45"/>
        <v>87.099999999999028</v>
      </c>
      <c r="N523" s="58">
        <f t="shared" si="41"/>
        <v>1.4810562571757888</v>
      </c>
    </row>
    <row r="524" spans="10:14">
      <c r="J524" s="58">
        <f t="shared" si="42"/>
        <v>1.9311126162181338</v>
      </c>
      <c r="K524" s="58">
        <f t="shared" si="43"/>
        <v>3.7765608742267913</v>
      </c>
      <c r="L524" s="58">
        <f t="shared" si="44"/>
        <v>6.8342896921291532</v>
      </c>
      <c r="M524" s="2">
        <f t="shared" si="45"/>
        <v>87.199999999999022</v>
      </c>
      <c r="N524" s="58">
        <f t="shared" si="41"/>
        <v>1.4678899082570087</v>
      </c>
    </row>
    <row r="525" spans="10:14">
      <c r="J525" s="58">
        <f t="shared" si="42"/>
        <v>1.9392643556062779</v>
      </c>
      <c r="K525" s="58">
        <f t="shared" si="43"/>
        <v>3.7868495732445502</v>
      </c>
      <c r="L525" s="58">
        <f t="shared" si="44"/>
        <v>6.8462749881493581</v>
      </c>
      <c r="M525" s="2">
        <f t="shared" si="45"/>
        <v>87.299999999999017</v>
      </c>
      <c r="N525" s="58">
        <f t="shared" si="41"/>
        <v>1.4547537227950897</v>
      </c>
    </row>
    <row r="526" spans="10:14">
      <c r="J526" s="58">
        <f t="shared" si="42"/>
        <v>1.9474398230922239</v>
      </c>
      <c r="K526" s="58">
        <f t="shared" si="43"/>
        <v>3.797150813805835</v>
      </c>
      <c r="L526" s="58">
        <f t="shared" si="44"/>
        <v>6.8582606632042049</v>
      </c>
      <c r="M526" s="2">
        <f t="shared" si="45"/>
        <v>87.399999999999011</v>
      </c>
      <c r="N526" s="58">
        <f t="shared" si="41"/>
        <v>1.4416475972541338</v>
      </c>
    </row>
    <row r="527" spans="10:14">
      <c r="J527" s="58">
        <f t="shared" si="42"/>
        <v>1.9556390977442792</v>
      </c>
      <c r="K527" s="58">
        <f t="shared" si="43"/>
        <v>3.8074646074645053</v>
      </c>
      <c r="L527" s="58">
        <f t="shared" si="44"/>
        <v>6.8702467122904434</v>
      </c>
      <c r="M527" s="2">
        <f t="shared" si="45"/>
        <v>87.499999999999005</v>
      </c>
      <c r="N527" s="58">
        <f t="shared" si="41"/>
        <v>1.4285714285715585</v>
      </c>
    </row>
    <row r="528" spans="10:14">
      <c r="J528" s="58">
        <f t="shared" si="42"/>
        <v>1.963862259080362</v>
      </c>
      <c r="K528" s="58">
        <f t="shared" si="43"/>
        <v>3.8177909658316853</v>
      </c>
      <c r="L528" s="58">
        <f t="shared" si="44"/>
        <v>6.8822331304283333</v>
      </c>
      <c r="M528" s="2">
        <f t="shared" si="45"/>
        <v>87.599999999999</v>
      </c>
      <c r="N528" s="58">
        <f t="shared" si="41"/>
        <v>1.4155251141553808</v>
      </c>
    </row>
    <row r="529" spans="10:14">
      <c r="J529" s="58">
        <f t="shared" si="42"/>
        <v>1.9721093870705606</v>
      </c>
      <c r="K529" s="58">
        <f t="shared" si="43"/>
        <v>3.8281299005757146</v>
      </c>
      <c r="L529" s="58">
        <f t="shared" si="44"/>
        <v>6.8942199126615042</v>
      </c>
      <c r="M529" s="2">
        <f t="shared" si="45"/>
        <v>87.699999999998994</v>
      </c>
      <c r="N529" s="58">
        <f t="shared" si="41"/>
        <v>1.4025085518815441</v>
      </c>
    </row>
    <row r="530" spans="10:14">
      <c r="J530" s="58">
        <f t="shared" si="42"/>
        <v>1.9803805621397215</v>
      </c>
      <c r="K530" s="58">
        <f t="shared" si="43"/>
        <v>3.8384814234220923</v>
      </c>
      <c r="L530" s="58">
        <f t="shared" si="44"/>
        <v>6.9062070540568152</v>
      </c>
      <c r="M530" s="2">
        <f t="shared" si="45"/>
        <v>87.799999999998988</v>
      </c>
      <c r="N530" s="58">
        <f t="shared" si="41"/>
        <v>1.3895216400912478</v>
      </c>
    </row>
    <row r="531" spans="10:14">
      <c r="J531" s="58">
        <f t="shared" si="42"/>
        <v>1.9886758651700553</v>
      </c>
      <c r="K531" s="58">
        <f t="shared" si="43"/>
        <v>3.8488455461534419</v>
      </c>
      <c r="L531" s="58">
        <f t="shared" si="44"/>
        <v>6.918194549704241</v>
      </c>
      <c r="M531" s="2">
        <f t="shared" si="45"/>
        <v>87.899999999998983</v>
      </c>
      <c r="N531" s="58">
        <f t="shared" si="41"/>
        <v>1.3765642775883009</v>
      </c>
    </row>
    <row r="532" spans="10:14">
      <c r="J532" s="58">
        <f t="shared" si="42"/>
        <v>1.9969953775037665</v>
      </c>
      <c r="K532" s="58">
        <f t="shared" si="43"/>
        <v>3.8592222806094574</v>
      </c>
      <c r="L532" s="58">
        <f t="shared" si="44"/>
        <v>6.9301823947167183</v>
      </c>
      <c r="M532" s="2">
        <f t="shared" si="45"/>
        <v>87.999999999998977</v>
      </c>
      <c r="N532" s="58">
        <f t="shared" si="41"/>
        <v>1.3636363636364965</v>
      </c>
    </row>
    <row r="533" spans="10:14">
      <c r="J533" s="58">
        <f t="shared" si="42"/>
        <v>2.0053391809456991</v>
      </c>
      <c r="K533" s="58">
        <f t="shared" si="43"/>
        <v>3.8696116386868624</v>
      </c>
      <c r="L533" s="58">
        <f t="shared" si="44"/>
        <v>6.9421705842300296</v>
      </c>
      <c r="M533" s="2">
        <f t="shared" si="45"/>
        <v>88.099999999998971</v>
      </c>
      <c r="N533" s="58">
        <f t="shared" si="41"/>
        <v>1.3507377979570006</v>
      </c>
    </row>
    <row r="534" spans="10:14">
      <c r="J534" s="58">
        <f t="shared" si="42"/>
        <v>2.0137073577660161</v>
      </c>
      <c r="K534" s="58">
        <f t="shared" si="43"/>
        <v>3.880013632339371</v>
      </c>
      <c r="L534" s="58">
        <f t="shared" si="44"/>
        <v>6.9541591134026737</v>
      </c>
      <c r="M534" s="2">
        <f t="shared" si="45"/>
        <v>88.199999999998965</v>
      </c>
      <c r="N534" s="58">
        <f t="shared" si="41"/>
        <v>1.3378684807257564</v>
      </c>
    </row>
    <row r="535" spans="10:14">
      <c r="J535" s="58">
        <f t="shared" si="42"/>
        <v>2.022099990702888</v>
      </c>
      <c r="K535" s="58">
        <f t="shared" si="43"/>
        <v>3.8904282735776317</v>
      </c>
      <c r="L535" s="58">
        <f t="shared" si="44"/>
        <v>6.9661479774157238</v>
      </c>
      <c r="M535" s="2">
        <f t="shared" si="45"/>
        <v>88.29999999999896</v>
      </c>
      <c r="N535" s="58">
        <f t="shared" si="41"/>
        <v>1.3250283125709146</v>
      </c>
    </row>
    <row r="536" spans="10:14">
      <c r="J536" s="58">
        <f t="shared" si="42"/>
        <v>2.0305171629652166</v>
      </c>
      <c r="K536" s="58">
        <f t="shared" si="43"/>
        <v>3.9008555744692033</v>
      </c>
      <c r="L536" s="58">
        <f t="shared" si="44"/>
        <v>6.9781371714727127</v>
      </c>
      <c r="M536" s="2">
        <f t="shared" si="45"/>
        <v>88.399999999998954</v>
      </c>
      <c r="N536" s="58">
        <f t="shared" si="41"/>
        <v>1.3122171945702696</v>
      </c>
    </row>
    <row r="537" spans="10:14">
      <c r="J537" s="58">
        <f t="shared" si="42"/>
        <v>2.0389589582353684</v>
      </c>
      <c r="K537" s="58">
        <f t="shared" si="43"/>
        <v>3.9112955471385056</v>
      </c>
      <c r="L537" s="58">
        <f t="shared" si="44"/>
        <v>6.9901266907995092</v>
      </c>
      <c r="M537" s="2">
        <f t="shared" si="45"/>
        <v>88.499999999998948</v>
      </c>
      <c r="N537" s="58">
        <f t="shared" si="41"/>
        <v>1.2994350282487215</v>
      </c>
    </row>
    <row r="538" spans="10:14">
      <c r="J538" s="58">
        <f t="shared" si="42"/>
        <v>2.0474254606719455</v>
      </c>
      <c r="K538" s="58">
        <f t="shared" si="43"/>
        <v>3.9217482037667857</v>
      </c>
      <c r="L538" s="58">
        <f t="shared" si="44"/>
        <v>7.0021165306441766</v>
      </c>
      <c r="M538" s="2">
        <f t="shared" si="45"/>
        <v>88.599999999998943</v>
      </c>
      <c r="N538" s="58">
        <f t="shared" si="41"/>
        <v>1.2866817155757548</v>
      </c>
    </row>
    <row r="539" spans="10:14">
      <c r="J539" s="58">
        <f t="shared" si="42"/>
        <v>2.0559167549125643</v>
      </c>
      <c r="K539" s="58">
        <f t="shared" si="43"/>
        <v>3.9322135565920706</v>
      </c>
      <c r="L539" s="58">
        <f t="shared" si="44"/>
        <v>7.0141066862768557</v>
      </c>
      <c r="M539" s="2">
        <f t="shared" si="45"/>
        <v>88.699999999998937</v>
      </c>
      <c r="N539" s="58">
        <f t="shared" si="41"/>
        <v>1.273957158962931</v>
      </c>
    </row>
    <row r="540" spans="10:14">
      <c r="J540" s="58">
        <f t="shared" si="42"/>
        <v>2.0644329260766701</v>
      </c>
      <c r="K540" s="58">
        <f t="shared" si="43"/>
        <v>3.9426916179091478</v>
      </c>
      <c r="L540" s="58">
        <f t="shared" si="44"/>
        <v>7.0260971529896432</v>
      </c>
      <c r="M540" s="2">
        <f t="shared" si="45"/>
        <v>88.799999999998931</v>
      </c>
      <c r="N540" s="58">
        <f t="shared" si="41"/>
        <v>1.2612612612613976</v>
      </c>
    </row>
    <row r="541" spans="10:14">
      <c r="J541" s="58">
        <f t="shared" si="42"/>
        <v>2.0729740597683692</v>
      </c>
      <c r="K541" s="58">
        <f t="shared" si="43"/>
        <v>3.9531824000695175</v>
      </c>
      <c r="L541" s="58">
        <f t="shared" si="44"/>
        <v>7.0380879260964662</v>
      </c>
      <c r="M541" s="2">
        <f t="shared" si="45"/>
        <v>88.899999999998926</v>
      </c>
      <c r="N541" s="58">
        <f t="shared" si="41"/>
        <v>1.2485939257594154</v>
      </c>
    </row>
    <row r="542" spans="10:14">
      <c r="J542" s="58">
        <f t="shared" si="42"/>
        <v>2.0815402420792823</v>
      </c>
      <c r="K542" s="58">
        <f t="shared" si="43"/>
        <v>3.9636859154813529</v>
      </c>
      <c r="L542" s="58">
        <f t="shared" si="44"/>
        <v>7.0500790009329508</v>
      </c>
      <c r="M542" s="2">
        <f t="shared" si="45"/>
        <v>88.99999999999892</v>
      </c>
      <c r="N542" s="58">
        <f t="shared" si="41"/>
        <v>1.2359550561799111</v>
      </c>
    </row>
    <row r="543" spans="10:14">
      <c r="J543" s="58">
        <f t="shared" si="42"/>
        <v>2.0901315595914287</v>
      </c>
      <c r="K543" s="58">
        <f t="shared" si="43"/>
        <v>3.9742021766094835</v>
      </c>
      <c r="L543" s="58">
        <f t="shared" si="44"/>
        <v>7.062070372856315</v>
      </c>
      <c r="M543" s="2">
        <f t="shared" si="45"/>
        <v>89.099999999998914</v>
      </c>
      <c r="N543" s="58">
        <f t="shared" si="41"/>
        <v>1.2233445566780272</v>
      </c>
    </row>
    <row r="544" spans="10:14">
      <c r="J544" s="58">
        <f t="shared" si="42"/>
        <v>2.0987480993801295</v>
      </c>
      <c r="K544" s="58">
        <f t="shared" si="43"/>
        <v>3.9847311959753542</v>
      </c>
      <c r="L544" s="58">
        <f t="shared" si="44"/>
        <v>7.0740620372452376</v>
      </c>
      <c r="M544" s="2">
        <f t="shared" si="45"/>
        <v>89.199999999998909</v>
      </c>
      <c r="N544" s="58">
        <f t="shared" si="41"/>
        <v>1.2107623318387031</v>
      </c>
    </row>
    <row r="545" spans="10:14">
      <c r="J545" s="58">
        <f t="shared" si="42"/>
        <v>2.1073899490169383</v>
      </c>
      <c r="K545" s="58">
        <f t="shared" si="43"/>
        <v>3.9952729861569969</v>
      </c>
      <c r="L545" s="58">
        <f t="shared" si="44"/>
        <v>7.0860539894997432</v>
      </c>
      <c r="M545" s="2">
        <f t="shared" si="45"/>
        <v>89.299999999998903</v>
      </c>
      <c r="N545" s="58">
        <f t="shared" si="41"/>
        <v>1.1982082866742694</v>
      </c>
    </row>
    <row r="546" spans="10:14">
      <c r="J546" s="58">
        <f t="shared" si="42"/>
        <v>2.1160571965725876</v>
      </c>
      <c r="K546" s="58">
        <f t="shared" si="43"/>
        <v>4.0058275597889921</v>
      </c>
      <c r="L546" s="58">
        <f t="shared" si="44"/>
        <v>7.0980462250410703</v>
      </c>
      <c r="M546" s="2">
        <f t="shared" si="45"/>
        <v>89.399999999998897</v>
      </c>
      <c r="N546" s="58">
        <f t="shared" si="41"/>
        <v>1.1856823266220626</v>
      </c>
    </row>
    <row r="547" spans="10:14">
      <c r="J547" s="58">
        <f t="shared" si="42"/>
        <v>2.1247499306199793</v>
      </c>
      <c r="K547" s="58">
        <f t="shared" si="43"/>
        <v>4.0163949295624528</v>
      </c>
      <c r="L547" s="58">
        <f t="shared" si="44"/>
        <v>7.1100387393115776</v>
      </c>
      <c r="M547" s="2">
        <f t="shared" si="45"/>
        <v>89.499999999998892</v>
      </c>
      <c r="N547" s="58">
        <f t="shared" si="41"/>
        <v>1.1731843575420378</v>
      </c>
    </row>
    <row r="548" spans="10:14">
      <c r="J548" s="58">
        <f t="shared" si="42"/>
        <v>2.1334682402371739</v>
      </c>
      <c r="K548" s="58">
        <f t="shared" si="43"/>
        <v>4.0269751082249901</v>
      </c>
      <c r="L548" s="58">
        <f t="shared" si="44"/>
        <v>7.1220315277745962</v>
      </c>
      <c r="M548" s="2">
        <f t="shared" si="45"/>
        <v>89.599999999998886</v>
      </c>
      <c r="N548" s="58">
        <f t="shared" si="41"/>
        <v>1.160714285714425</v>
      </c>
    </row>
    <row r="549" spans="10:14">
      <c r="J549" s="58">
        <f t="shared" si="42"/>
        <v>2.1422122150104292</v>
      </c>
      <c r="K549" s="58">
        <f t="shared" si="43"/>
        <v>4.0375681085806869</v>
      </c>
      <c r="L549" s="58">
        <f t="shared" si="44"/>
        <v>7.1340245859143323</v>
      </c>
      <c r="M549" s="2">
        <f t="shared" si="45"/>
        <v>89.69999999999888</v>
      </c>
      <c r="N549" s="58">
        <f t="shared" si="41"/>
        <v>1.1482720178373746</v>
      </c>
    </row>
    <row r="550" spans="10:14">
      <c r="J550" s="58">
        <f t="shared" si="42"/>
        <v>2.1509819450372496</v>
      </c>
      <c r="K550" s="58">
        <f t="shared" si="43"/>
        <v>4.048173943490073</v>
      </c>
      <c r="L550" s="58">
        <f t="shared" si="44"/>
        <v>7.1460179092357494</v>
      </c>
      <c r="M550" s="2">
        <f t="shared" si="45"/>
        <v>89.799999999998875</v>
      </c>
      <c r="N550" s="58">
        <f t="shared" si="41"/>
        <v>1.1358574610246386</v>
      </c>
    </row>
    <row r="551" spans="10:14">
      <c r="J551" s="58">
        <f t="shared" si="42"/>
        <v>2.1597775209294614</v>
      </c>
      <c r="K551" s="58">
        <f t="shared" si="43"/>
        <v>4.0587926258701001</v>
      </c>
      <c r="L551" s="58">
        <f t="shared" si="44"/>
        <v>7.1580114932644454</v>
      </c>
      <c r="M551" s="2">
        <f t="shared" si="45"/>
        <v>89.899999999998869</v>
      </c>
      <c r="N551" s="58">
        <f t="shared" si="41"/>
        <v>1.1234705228032542</v>
      </c>
    </row>
    <row r="552" spans="10:14">
      <c r="J552" s="58">
        <f t="shared" si="42"/>
        <v>2.1685990338163248</v>
      </c>
      <c r="K552" s="58">
        <f t="shared" si="43"/>
        <v>4.0694241686941215</v>
      </c>
      <c r="L552" s="58">
        <f t="shared" si="44"/>
        <v>7.1700053335465395</v>
      </c>
      <c r="M552" s="2">
        <f t="shared" si="45"/>
        <v>89.999999999998863</v>
      </c>
      <c r="N552" s="58">
        <f t="shared" si="41"/>
        <v>1.111111111111251</v>
      </c>
    </row>
    <row r="553" spans="10:14">
      <c r="J553" s="58">
        <f t="shared" si="42"/>
        <v>2.17744657534766</v>
      </c>
      <c r="K553" s="58">
        <f t="shared" si="43"/>
        <v>4.0800685849918619</v>
      </c>
      <c r="L553" s="58">
        <f t="shared" si="44"/>
        <v>7.1819994256485602</v>
      </c>
      <c r="M553" s="2">
        <f t="shared" si="45"/>
        <v>90.099999999998857</v>
      </c>
      <c r="N553" s="58">
        <f t="shared" si="41"/>
        <v>1.0987791342953681</v>
      </c>
    </row>
    <row r="554" spans="10:14">
      <c r="J554" s="58">
        <f t="shared" si="42"/>
        <v>2.1863202376970041</v>
      </c>
      <c r="K554" s="58">
        <f t="shared" si="43"/>
        <v>4.0907258878494064</v>
      </c>
      <c r="L554" s="58">
        <f t="shared" si="44"/>
        <v>7.1939937651573374</v>
      </c>
      <c r="M554" s="2">
        <f t="shared" si="45"/>
        <v>90.199999999998852</v>
      </c>
      <c r="N554" s="58">
        <f t="shared" si="41"/>
        <v>1.0864745011087891</v>
      </c>
    </row>
    <row r="555" spans="10:14">
      <c r="J555" s="58">
        <f t="shared" si="42"/>
        <v>2.1952201135647975</v>
      </c>
      <c r="K555" s="58">
        <f t="shared" si="43"/>
        <v>4.101396090409172</v>
      </c>
      <c r="L555" s="58">
        <f t="shared" si="44"/>
        <v>7.2059883476798774</v>
      </c>
      <c r="M555" s="2">
        <f t="shared" si="45"/>
        <v>90.299999999998846</v>
      </c>
      <c r="N555" s="58">
        <f t="shared" si="41"/>
        <v>1.0741971207088898</v>
      </c>
    </row>
    <row r="556" spans="10:14">
      <c r="J556" s="58">
        <f t="shared" si="42"/>
        <v>2.204146296181591</v>
      </c>
      <c r="K556" s="58">
        <f t="shared" si="43"/>
        <v>4.1120792058698923</v>
      </c>
      <c r="L556" s="58">
        <f t="shared" si="44"/>
        <v>7.2179831688432596</v>
      </c>
      <c r="M556" s="2">
        <f t="shared" si="45"/>
        <v>90.39999999999884</v>
      </c>
      <c r="N556" s="58">
        <f t="shared" si="41"/>
        <v>1.0619469026550092</v>
      </c>
    </row>
    <row r="557" spans="10:14">
      <c r="J557" s="58">
        <f t="shared" si="42"/>
        <v>2.2130988793112825</v>
      </c>
      <c r="K557" s="58">
        <f t="shared" si="43"/>
        <v>4.1227752474865991</v>
      </c>
      <c r="L557" s="58">
        <f t="shared" si="44"/>
        <v>7.2299782242945305</v>
      </c>
      <c r="M557" s="2">
        <f t="shared" si="45"/>
        <v>90.499999999998835</v>
      </c>
      <c r="N557" s="58">
        <f t="shared" si="41"/>
        <v>1.0497237569062197</v>
      </c>
    </row>
    <row r="558" spans="10:14">
      <c r="J558" s="58">
        <f t="shared" si="42"/>
        <v>2.2220779572543843</v>
      </c>
      <c r="K558" s="58">
        <f t="shared" si="43"/>
        <v>4.1334842285705999</v>
      </c>
      <c r="L558" s="58">
        <f t="shared" si="44"/>
        <v>7.2419735097005731</v>
      </c>
      <c r="M558" s="2">
        <f t="shared" si="45"/>
        <v>90.599999999998829</v>
      </c>
      <c r="N558" s="58">
        <f t="shared" si="41"/>
        <v>1.037527593819128</v>
      </c>
    </row>
    <row r="559" spans="10:14">
      <c r="J559" s="58">
        <f t="shared" si="42"/>
        <v>2.2310836248513128</v>
      </c>
      <c r="K559" s="58">
        <f t="shared" si="43"/>
        <v>4.144206162489473</v>
      </c>
      <c r="L559" s="58">
        <f t="shared" si="44"/>
        <v>7.2539690207480252</v>
      </c>
      <c r="M559" s="2">
        <f t="shared" si="45"/>
        <v>90.699999999998823</v>
      </c>
      <c r="N559" s="58">
        <f t="shared" si="41"/>
        <v>1.0253583241456781</v>
      </c>
    </row>
    <row r="560" spans="10:14">
      <c r="J560" s="58">
        <f t="shared" si="42"/>
        <v>2.240115977485706</v>
      </c>
      <c r="K560" s="58">
        <f t="shared" si="43"/>
        <v>4.1549410626670413</v>
      </c>
      <c r="L560" s="58">
        <f t="shared" si="44"/>
        <v>7.2659647531431473</v>
      </c>
      <c r="M560" s="2">
        <f t="shared" si="45"/>
        <v>90.799999999998818</v>
      </c>
      <c r="N560" s="58">
        <f t="shared" si="41"/>
        <v>1.0132158590309803</v>
      </c>
    </row>
    <row r="561" spans="10:14">
      <c r="J561" s="58">
        <f t="shared" si="42"/>
        <v>2.249175111087772</v>
      </c>
      <c r="K561" s="58">
        <f t="shared" si="43"/>
        <v>4.1656889425833583</v>
      </c>
      <c r="L561" s="58">
        <f t="shared" si="44"/>
        <v>7.2779607026117255</v>
      </c>
      <c r="M561" s="2">
        <f t="shared" si="45"/>
        <v>90.899999999998812</v>
      </c>
      <c r="N561" s="58">
        <f t="shared" si="41"/>
        <v>1.0011001100111443</v>
      </c>
    </row>
    <row r="562" spans="10:14">
      <c r="J562" s="58">
        <f t="shared" si="42"/>
        <v>2.2582611221376658</v>
      </c>
      <c r="K562" s="58">
        <f t="shared" si="43"/>
        <v>4.1764498157747063</v>
      </c>
      <c r="L562" s="58">
        <f t="shared" si="44"/>
        <v>7.2899568648989641</v>
      </c>
      <c r="M562" s="2">
        <f t="shared" si="45"/>
        <v>90.999999999998806</v>
      </c>
      <c r="N562" s="58">
        <f t="shared" si="41"/>
        <v>0.98901098901113293</v>
      </c>
    </row>
    <row r="563" spans="10:14">
      <c r="J563" s="58">
        <f t="shared" si="42"/>
        <v>2.2673741076688891</v>
      </c>
      <c r="K563" s="58">
        <f t="shared" si="43"/>
        <v>4.1872236958335698</v>
      </c>
      <c r="L563" s="58">
        <f t="shared" si="44"/>
        <v>7.3019532357693766</v>
      </c>
      <c r="M563" s="2">
        <f t="shared" si="45"/>
        <v>91.099999999998801</v>
      </c>
      <c r="N563" s="58">
        <f t="shared" si="41"/>
        <v>0.97694840834262564</v>
      </c>
    </row>
    <row r="564" spans="10:14">
      <c r="J564" s="58">
        <f t="shared" si="42"/>
        <v>2.2765141652717267</v>
      </c>
      <c r="K564" s="58">
        <f t="shared" si="43"/>
        <v>4.1980105964086363</v>
      </c>
      <c r="L564" s="58">
        <f t="shared" si="44"/>
        <v>7.3139498110066743</v>
      </c>
      <c r="M564" s="2">
        <f t="shared" si="45"/>
        <v>91.199999999998795</v>
      </c>
      <c r="N564" s="58">
        <f t="shared" ref="N564:N627" si="46">IF(M564&gt;0,1000/M564-10,1000)</f>
        <v>0.96491228070189905</v>
      </c>
    </row>
    <row r="565" spans="10:14">
      <c r="J565" s="58">
        <f t="shared" si="42"/>
        <v>2.2856813930967026</v>
      </c>
      <c r="K565" s="58">
        <f t="shared" si="43"/>
        <v>4.2088105312047777</v>
      </c>
      <c r="L565" s="58">
        <f t="shared" si="44"/>
        <v>7.3259465864136777</v>
      </c>
      <c r="M565" s="2">
        <f t="shared" si="45"/>
        <v>91.299999999998789</v>
      </c>
      <c r="N565" s="58">
        <f t="shared" si="46"/>
        <v>0.95290251916772384</v>
      </c>
    </row>
    <row r="566" spans="10:14">
      <c r="J566" s="58">
        <f t="shared" si="42"/>
        <v>2.2948758898580728</v>
      </c>
      <c r="K566" s="58">
        <f t="shared" si="43"/>
        <v>4.2196235139830423</v>
      </c>
      <c r="L566" s="58">
        <f t="shared" si="44"/>
        <v>7.3379435578121877</v>
      </c>
      <c r="M566" s="2">
        <f t="shared" si="45"/>
        <v>91.399999999998784</v>
      </c>
      <c r="N566" s="58">
        <f t="shared" si="46"/>
        <v>0.94091903719927039</v>
      </c>
    </row>
    <row r="567" spans="10:14">
      <c r="J567" s="58">
        <f t="shared" si="42"/>
        <v>2.3040977548373465</v>
      </c>
      <c r="K567" s="58">
        <f t="shared" si="43"/>
        <v>4.2304495585606539</v>
      </c>
      <c r="L567" s="58">
        <f t="shared" si="44"/>
        <v>7.3499407210429064</v>
      </c>
      <c r="M567" s="2">
        <f t="shared" si="45"/>
        <v>91.499999999998778</v>
      </c>
      <c r="N567" s="58">
        <f t="shared" si="46"/>
        <v>0.92896174863402514</v>
      </c>
    </row>
    <row r="568" spans="10:14">
      <c r="J568" s="58">
        <f t="shared" si="42"/>
        <v>2.313347087886831</v>
      </c>
      <c r="K568" s="58">
        <f t="shared" si="43"/>
        <v>4.2412886788109931</v>
      </c>
      <c r="L568" s="58">
        <f t="shared" si="44"/>
        <v>7.3619380719653149</v>
      </c>
      <c r="M568" s="2">
        <f t="shared" si="45"/>
        <v>91.599999999998772</v>
      </c>
      <c r="N568" s="58">
        <f t="shared" si="46"/>
        <v>0.91703056768573532</v>
      </c>
    </row>
    <row r="569" spans="10:14">
      <c r="J569" s="58">
        <f t="shared" si="42"/>
        <v>2.322623989433211</v>
      </c>
      <c r="K569" s="58">
        <f t="shared" si="43"/>
        <v>4.2521408886636021</v>
      </c>
      <c r="L569" s="58">
        <f t="shared" si="44"/>
        <v>7.3739356064575814</v>
      </c>
      <c r="M569" s="2">
        <f t="shared" si="45"/>
        <v>91.699999999998766</v>
      </c>
      <c r="N569" s="58">
        <f t="shared" si="46"/>
        <v>0.90512540894235016</v>
      </c>
    </row>
    <row r="570" spans="10:14">
      <c r="J570" s="58">
        <f t="shared" si="42"/>
        <v>2.3319285604811664</v>
      </c>
      <c r="K570" s="58">
        <f t="shared" si="43"/>
        <v>4.2630062021041706</v>
      </c>
      <c r="L570" s="58">
        <f t="shared" si="44"/>
        <v>7.3859333204164539</v>
      </c>
      <c r="M570" s="2">
        <f t="shared" si="45"/>
        <v>91.799999999998761</v>
      </c>
      <c r="N570" s="58">
        <f t="shared" si="46"/>
        <v>0.89324618736398165</v>
      </c>
    </row>
    <row r="571" spans="10:14">
      <c r="J571" s="58">
        <f t="shared" si="42"/>
        <v>2.3412609026169977</v>
      </c>
      <c r="K571" s="58">
        <f t="shared" si="43"/>
        <v>4.2738846331745339</v>
      </c>
      <c r="L571" s="58">
        <f t="shared" si="44"/>
        <v>7.3979312097571643</v>
      </c>
      <c r="M571" s="2">
        <f t="shared" si="45"/>
        <v>91.899999999998755</v>
      </c>
      <c r="N571" s="58">
        <f t="shared" si="46"/>
        <v>0.88139281828088656</v>
      </c>
    </row>
    <row r="572" spans="10:14">
      <c r="J572" s="58">
        <f t="shared" ref="J572:J635" si="47">IF(D$5&gt;0.2*($N572),(D$5-0.2*($N572))^2/(D$5+0.8*($N572)),0)</f>
        <v>2.3506211180123056</v>
      </c>
      <c r="K572" s="58">
        <f t="shared" ref="K572:K635" si="48">IF(E$5&gt;0.2*($N572),(E$5-0.2*($N572))^2/(E$5+0.8*($N572)),0)</f>
        <v>4.2847761959726745</v>
      </c>
      <c r="L572" s="58">
        <f t="shared" ref="L572:L635" si="49">IF(F$5&gt;0.2*($N572),(F$5-0.2*($N572))^2/(F$5+0.8*($N572)),0)</f>
        <v>7.4099292704133211</v>
      </c>
      <c r="M572" s="2">
        <f t="shared" ref="M572:M635" si="50">M571+0.1</f>
        <v>91.999999999998749</v>
      </c>
      <c r="N572" s="58">
        <f t="shared" si="46"/>
        <v>0.86956521739145209</v>
      </c>
    </row>
    <row r="573" spans="10:14">
      <c r="J573" s="58">
        <f t="shared" si="47"/>
        <v>2.3600093094276913</v>
      </c>
      <c r="K573" s="58">
        <f t="shared" si="48"/>
        <v>4.2956809046527109</v>
      </c>
      <c r="L573" s="58">
        <f t="shared" si="49"/>
        <v>7.4219274983368146</v>
      </c>
      <c r="M573" s="2">
        <f t="shared" si="50"/>
        <v>92.099999999998744</v>
      </c>
      <c r="N573" s="58">
        <f t="shared" si="46"/>
        <v>0.85776330076019214</v>
      </c>
    </row>
    <row r="574" spans="10:14">
      <c r="J574" s="58">
        <f t="shared" si="47"/>
        <v>2.3694255802164896</v>
      </c>
      <c r="K574" s="58">
        <f t="shared" si="48"/>
        <v>4.3065987734249047</v>
      </c>
      <c r="L574" s="58">
        <f t="shared" si="49"/>
        <v>7.4339258894977167</v>
      </c>
      <c r="M574" s="2">
        <f t="shared" si="50"/>
        <v>92.199999999998738</v>
      </c>
      <c r="N574" s="58">
        <f t="shared" si="46"/>
        <v>0.84598698481576662</v>
      </c>
    </row>
    <row r="575" spans="10:14">
      <c r="J575" s="58">
        <f t="shared" si="47"/>
        <v>2.3788700343285289</v>
      </c>
      <c r="K575" s="58">
        <f t="shared" si="48"/>
        <v>4.3175298165556519</v>
      </c>
      <c r="L575" s="58">
        <f t="shared" si="49"/>
        <v>7.4459244398841768</v>
      </c>
      <c r="M575" s="2">
        <f t="shared" si="50"/>
        <v>92.299999999998732</v>
      </c>
      <c r="N575" s="58">
        <f t="shared" si="46"/>
        <v>0.83423618634901153</v>
      </c>
    </row>
    <row r="576" spans="10:14">
      <c r="J576" s="58">
        <f t="shared" si="47"/>
        <v>2.3883427763139298</v>
      </c>
      <c r="K576" s="58">
        <f t="shared" si="48"/>
        <v>4.3284740483674939</v>
      </c>
      <c r="L576" s="58">
        <f t="shared" si="49"/>
        <v>7.4579231455023391</v>
      </c>
      <c r="M576" s="2">
        <f t="shared" si="50"/>
        <v>92.399999999998727</v>
      </c>
      <c r="N576" s="58">
        <f t="shared" si="46"/>
        <v>0.82251082251097252</v>
      </c>
    </row>
    <row r="577" spans="10:14">
      <c r="J577" s="58">
        <f t="shared" si="47"/>
        <v>2.3978439113269361</v>
      </c>
      <c r="K577" s="58">
        <f t="shared" si="48"/>
        <v>4.3394314832391068</v>
      </c>
      <c r="L577" s="58">
        <f t="shared" si="49"/>
        <v>7.4699220023762232</v>
      </c>
      <c r="M577" s="2">
        <f t="shared" si="50"/>
        <v>92.499999999998721</v>
      </c>
      <c r="N577" s="58">
        <f t="shared" si="46"/>
        <v>0.81081081081095974</v>
      </c>
    </row>
    <row r="578" spans="10:14">
      <c r="J578" s="58">
        <f t="shared" si="47"/>
        <v>2.4073735451297686</v>
      </c>
      <c r="K578" s="58">
        <f t="shared" si="48"/>
        <v>4.3504021356053091</v>
      </c>
      <c r="L578" s="58">
        <f t="shared" si="49"/>
        <v>7.4819210065476431</v>
      </c>
      <c r="M578" s="2">
        <f t="shared" si="50"/>
        <v>92.599999999998715</v>
      </c>
      <c r="N578" s="58">
        <f t="shared" si="46"/>
        <v>0.79913606911462054</v>
      </c>
    </row>
    <row r="579" spans="10:14">
      <c r="J579" s="58">
        <f t="shared" si="47"/>
        <v>2.4169317840965263</v>
      </c>
      <c r="K579" s="58">
        <f t="shared" si="48"/>
        <v>4.3613860199570684</v>
      </c>
      <c r="L579" s="58">
        <f t="shared" si="49"/>
        <v>7.4939201540761093</v>
      </c>
      <c r="M579" s="2">
        <f t="shared" si="50"/>
        <v>92.69999999999871</v>
      </c>
      <c r="N579" s="58">
        <f t="shared" si="46"/>
        <v>0.787486515642005</v>
      </c>
    </row>
    <row r="580" spans="10:14">
      <c r="J580" s="58">
        <f t="shared" si="47"/>
        <v>2.4265187352171056</v>
      </c>
      <c r="K580" s="58">
        <f t="shared" si="48"/>
        <v>4.3723831508414985</v>
      </c>
      <c r="L580" s="58">
        <f t="shared" si="49"/>
        <v>7.5059194410387304</v>
      </c>
      <c r="M580" s="2">
        <f t="shared" si="50"/>
        <v>92.799999999998704</v>
      </c>
      <c r="N580" s="58">
        <f t="shared" si="46"/>
        <v>0.77586206896566701</v>
      </c>
    </row>
    <row r="581" spans="10:14">
      <c r="J581" s="58">
        <f t="shared" si="47"/>
        <v>2.4361345061011641</v>
      </c>
      <c r="K581" s="58">
        <f t="shared" si="48"/>
        <v>4.3833935428618718</v>
      </c>
      <c r="L581" s="58">
        <f t="shared" si="49"/>
        <v>7.5179188635301175</v>
      </c>
      <c r="M581" s="2">
        <f t="shared" si="50"/>
        <v>92.899999999998698</v>
      </c>
      <c r="N581" s="58">
        <f t="shared" si="46"/>
        <v>0.76426264800876176</v>
      </c>
    </row>
    <row r="582" spans="10:14">
      <c r="J582" s="58">
        <f t="shared" si="47"/>
        <v>2.4457792049821157</v>
      </c>
      <c r="K582" s="58">
        <f t="shared" si="48"/>
        <v>4.3944172106776183</v>
      </c>
      <c r="L582" s="58">
        <f t="shared" si="49"/>
        <v>7.5299184176622873</v>
      </c>
      <c r="M582" s="2">
        <f t="shared" si="50"/>
        <v>92.999999999998693</v>
      </c>
      <c r="N582" s="58">
        <f t="shared" si="46"/>
        <v>0.75268817204316107</v>
      </c>
    </row>
    <row r="583" spans="10:14">
      <c r="J583" s="58">
        <f t="shared" si="47"/>
        <v>2.4554529407211496</v>
      </c>
      <c r="K583" s="58">
        <f t="shared" si="48"/>
        <v>4.4054541690043365</v>
      </c>
      <c r="L583" s="58">
        <f t="shared" si="49"/>
        <v>7.5419180995645805</v>
      </c>
      <c r="M583" s="2">
        <f t="shared" si="50"/>
        <v>93.099999999998687</v>
      </c>
      <c r="N583" s="58">
        <f t="shared" si="46"/>
        <v>0.74113856068758466</v>
      </c>
    </row>
    <row r="584" spans="10:14">
      <c r="J584" s="58">
        <f t="shared" si="47"/>
        <v>2.4651558228113033</v>
      </c>
      <c r="K584" s="58">
        <f t="shared" si="48"/>
        <v>4.4165044326138041</v>
      </c>
      <c r="L584" s="58">
        <f t="shared" si="49"/>
        <v>7.553917905383555</v>
      </c>
      <c r="M584" s="2">
        <f t="shared" si="50"/>
        <v>93.199999999998681</v>
      </c>
      <c r="N584" s="58">
        <f t="shared" si="46"/>
        <v>0.72961373390573137</v>
      </c>
    </row>
    <row r="585" spans="10:14">
      <c r="J585" s="58">
        <f t="shared" si="47"/>
        <v>2.4748879613815489</v>
      </c>
      <c r="K585" s="58">
        <f t="shared" si="48"/>
        <v>4.4275680163339759</v>
      </c>
      <c r="L585" s="58">
        <f t="shared" si="49"/>
        <v>7.5659178312829019</v>
      </c>
      <c r="M585" s="2">
        <f t="shared" si="50"/>
        <v>93.299999999998676</v>
      </c>
      <c r="N585" s="58">
        <f t="shared" si="46"/>
        <v>0.71811361200443891</v>
      </c>
    </row>
    <row r="586" spans="10:14">
      <c r="J586" s="58">
        <f t="shared" si="47"/>
        <v>2.4846494672009274</v>
      </c>
      <c r="K586" s="58">
        <f t="shared" si="48"/>
        <v>4.4386449350490054</v>
      </c>
      <c r="L586" s="58">
        <f t="shared" si="49"/>
        <v>7.577917873443349</v>
      </c>
      <c r="M586" s="2">
        <f t="shared" si="50"/>
        <v>93.39999999999867</v>
      </c>
      <c r="N586" s="58">
        <f t="shared" si="46"/>
        <v>0.70663811563184353</v>
      </c>
    </row>
    <row r="587" spans="10:14">
      <c r="J587" s="58">
        <f t="shared" si="47"/>
        <v>2.4944404516827161</v>
      </c>
      <c r="K587" s="58">
        <f t="shared" si="48"/>
        <v>4.4497352036992499</v>
      </c>
      <c r="L587" s="58">
        <f t="shared" si="49"/>
        <v>7.5899180280625709</v>
      </c>
      <c r="M587" s="2">
        <f t="shared" si="50"/>
        <v>93.499999999998664</v>
      </c>
      <c r="N587" s="58">
        <f t="shared" si="46"/>
        <v>0.69518716577555395</v>
      </c>
    </row>
    <row r="588" spans="10:14">
      <c r="J588" s="58">
        <f t="shared" si="47"/>
        <v>2.5042610268886318</v>
      </c>
      <c r="K588" s="58">
        <f t="shared" si="48"/>
        <v>4.4608388372812815</v>
      </c>
      <c r="L588" s="58">
        <f t="shared" si="49"/>
        <v>7.6019182913551013</v>
      </c>
      <c r="M588" s="2">
        <f t="shared" si="50"/>
        <v>93.599999999998658</v>
      </c>
      <c r="N588" s="58">
        <f t="shared" si="46"/>
        <v>0.68376068376083765</v>
      </c>
    </row>
    <row r="589" spans="10:14">
      <c r="J589" s="58">
        <f t="shared" si="47"/>
        <v>2.5141113055330631</v>
      </c>
      <c r="K589" s="58">
        <f t="shared" si="48"/>
        <v>4.4719558508479018</v>
      </c>
      <c r="L589" s="58">
        <f t="shared" si="49"/>
        <v>7.6139186595522439</v>
      </c>
      <c r="M589" s="2">
        <f t="shared" si="50"/>
        <v>93.699999999998653</v>
      </c>
      <c r="N589" s="58">
        <f t="shared" si="46"/>
        <v>0.67235859124881969</v>
      </c>
    </row>
    <row r="590" spans="10:14">
      <c r="J590" s="58">
        <f t="shared" si="47"/>
        <v>2.5239914009873483</v>
      </c>
      <c r="K590" s="58">
        <f t="shared" si="48"/>
        <v>4.483086259508152</v>
      </c>
      <c r="L590" s="58">
        <f t="shared" si="49"/>
        <v>7.6259191289019652</v>
      </c>
      <c r="M590" s="2">
        <f t="shared" si="50"/>
        <v>93.799999999998647</v>
      </c>
      <c r="N590" s="58">
        <f t="shared" si="46"/>
        <v>0.66098081023469568</v>
      </c>
    </row>
    <row r="591" spans="10:14">
      <c r="J591" s="58">
        <f t="shared" si="47"/>
        <v>2.5339014272840825</v>
      </c>
      <c r="K591" s="58">
        <f t="shared" si="48"/>
        <v>4.4942300784273295</v>
      </c>
      <c r="L591" s="58">
        <f t="shared" si="49"/>
        <v>7.6379196956688409</v>
      </c>
      <c r="M591" s="2">
        <f t="shared" si="50"/>
        <v>93.899999999998641</v>
      </c>
      <c r="N591" s="58">
        <f t="shared" si="46"/>
        <v>0.64962726304594831</v>
      </c>
    </row>
    <row r="592" spans="10:14">
      <c r="J592" s="58">
        <f t="shared" si="47"/>
        <v>2.5438414991214731</v>
      </c>
      <c r="K592" s="58">
        <f t="shared" si="48"/>
        <v>4.5053873228270032</v>
      </c>
      <c r="L592" s="58">
        <f t="shared" si="49"/>
        <v>7.6499203561339275</v>
      </c>
      <c r="M592" s="2">
        <f t="shared" si="50"/>
        <v>93.999999999998636</v>
      </c>
      <c r="N592" s="58">
        <f t="shared" si="46"/>
        <v>0.63829787234057989</v>
      </c>
    </row>
    <row r="593" spans="10:14">
      <c r="J593" s="58">
        <f t="shared" si="47"/>
        <v>2.5538117318677096</v>
      </c>
      <c r="K593" s="58">
        <f t="shared" si="48"/>
        <v>4.5165580079850258</v>
      </c>
      <c r="L593" s="58">
        <f t="shared" si="49"/>
        <v>7.6619211065947024</v>
      </c>
      <c r="M593" s="2">
        <f t="shared" si="50"/>
        <v>94.09999999999863</v>
      </c>
      <c r="N593" s="58">
        <f t="shared" si="46"/>
        <v>0.62699256110536261</v>
      </c>
    </row>
    <row r="594" spans="10:14">
      <c r="J594" s="58">
        <f t="shared" si="47"/>
        <v>2.563812241565401</v>
      </c>
      <c r="K594" s="58">
        <f t="shared" si="48"/>
        <v>4.5277421492355554</v>
      </c>
      <c r="L594" s="58">
        <f t="shared" si="49"/>
        <v>7.6739219433649692</v>
      </c>
      <c r="M594" s="2">
        <f t="shared" si="50"/>
        <v>94.199999999998624</v>
      </c>
      <c r="N594" s="58">
        <f t="shared" si="46"/>
        <v>0.61571125265408355</v>
      </c>
    </row>
    <row r="595" spans="10:14">
      <c r="J595" s="58">
        <f t="shared" si="47"/>
        <v>2.5738431449360273</v>
      </c>
      <c r="K595" s="58">
        <f t="shared" si="48"/>
        <v>4.5389397619690719</v>
      </c>
      <c r="L595" s="58">
        <f t="shared" si="49"/>
        <v>7.6859228627747678</v>
      </c>
      <c r="M595" s="2">
        <f t="shared" si="50"/>
        <v>94.299999999998619</v>
      </c>
      <c r="N595" s="58">
        <f t="shared" si="46"/>
        <v>0.60445387062581801</v>
      </c>
    </row>
    <row r="596" spans="10:14">
      <c r="J596" s="58">
        <f t="shared" si="47"/>
        <v>2.583904559384437</v>
      </c>
      <c r="K596" s="58">
        <f t="shared" si="48"/>
        <v>4.5501508616323907</v>
      </c>
      <c r="L596" s="58">
        <f t="shared" si="49"/>
        <v>7.6979238611702829</v>
      </c>
      <c r="M596" s="2">
        <f t="shared" si="50"/>
        <v>94.399999999998613</v>
      </c>
      <c r="N596" s="58">
        <f t="shared" si="46"/>
        <v>0.59322033898320647</v>
      </c>
    </row>
    <row r="597" spans="10:14">
      <c r="J597" s="58">
        <f t="shared" si="47"/>
        <v>2.5939966030033901</v>
      </c>
      <c r="K597" s="58">
        <f t="shared" si="48"/>
        <v>4.5613754637286874</v>
      </c>
      <c r="L597" s="58">
        <f t="shared" si="49"/>
        <v>7.7099249349137775</v>
      </c>
      <c r="M597" s="2">
        <f t="shared" si="50"/>
        <v>94.499999999998607</v>
      </c>
      <c r="N597" s="58">
        <f t="shared" si="46"/>
        <v>0.58201058201073863</v>
      </c>
    </row>
    <row r="598" spans="10:14">
      <c r="J598" s="58">
        <f t="shared" si="47"/>
        <v>2.6041193945781296</v>
      </c>
      <c r="K598" s="58">
        <f t="shared" si="48"/>
        <v>4.5726135838175201</v>
      </c>
      <c r="L598" s="58">
        <f t="shared" si="49"/>
        <v>7.721926080383489</v>
      </c>
      <c r="M598" s="2">
        <f t="shared" si="50"/>
        <v>94.599999999998602</v>
      </c>
      <c r="N598" s="58">
        <f t="shared" si="46"/>
        <v>0.57082452431305342</v>
      </c>
    </row>
    <row r="599" spans="10:14">
      <c r="J599" s="58">
        <f t="shared" si="47"/>
        <v>2.6142730535909995</v>
      </c>
      <c r="K599" s="58">
        <f t="shared" si="48"/>
        <v>4.5838652375148454</v>
      </c>
      <c r="L599" s="58">
        <f t="shared" si="49"/>
        <v>7.7339272939735544</v>
      </c>
      <c r="M599" s="2">
        <f t="shared" si="50"/>
        <v>94.699999999998596</v>
      </c>
      <c r="N599" s="58">
        <f t="shared" si="46"/>
        <v>0.55966209081324969</v>
      </c>
    </row>
    <row r="600" spans="10:14">
      <c r="J600" s="58">
        <f t="shared" si="47"/>
        <v>2.6244577002260927</v>
      </c>
      <c r="K600" s="58">
        <f t="shared" si="48"/>
        <v>4.5951304404930369</v>
      </c>
      <c r="L600" s="58">
        <f t="shared" si="49"/>
        <v>7.7459285720939173</v>
      </c>
      <c r="M600" s="2">
        <f t="shared" si="50"/>
        <v>94.79999999999859</v>
      </c>
      <c r="N600" s="58">
        <f t="shared" si="46"/>
        <v>0.54852320675121113</v>
      </c>
    </row>
    <row r="601" spans="10:14">
      <c r="J601" s="58">
        <f t="shared" si="47"/>
        <v>2.6346734553739579</v>
      </c>
      <c r="K601" s="58">
        <f t="shared" si="48"/>
        <v>4.6064092084809198</v>
      </c>
      <c r="L601" s="58">
        <f t="shared" si="49"/>
        <v>7.7579299111702591</v>
      </c>
      <c r="M601" s="2">
        <f t="shared" si="50"/>
        <v>94.899999999998585</v>
      </c>
      <c r="N601" s="58">
        <f t="shared" si="46"/>
        <v>0.53740779768192759</v>
      </c>
    </row>
    <row r="602" spans="10:14">
      <c r="J602" s="58">
        <f t="shared" si="47"/>
        <v>2.6449204406363296</v>
      </c>
      <c r="K602" s="58">
        <f t="shared" si="48"/>
        <v>4.6177015572637865</v>
      </c>
      <c r="L602" s="58">
        <f t="shared" si="49"/>
        <v>7.7699313076439012</v>
      </c>
      <c r="M602" s="2">
        <f t="shared" si="50"/>
        <v>94.999999999998579</v>
      </c>
      <c r="N602" s="58">
        <f t="shared" si="46"/>
        <v>0.52631578947384128</v>
      </c>
    </row>
    <row r="603" spans="10:14">
      <c r="J603" s="58">
        <f t="shared" si="47"/>
        <v>2.655198778330901</v>
      </c>
      <c r="K603" s="58">
        <f t="shared" si="48"/>
        <v>4.6290075026834208</v>
      </c>
      <c r="L603" s="58">
        <f t="shared" si="49"/>
        <v>7.7819327579717328</v>
      </c>
      <c r="M603" s="2">
        <f t="shared" si="50"/>
        <v>95.099999999998573</v>
      </c>
      <c r="N603" s="58">
        <f t="shared" si="46"/>
        <v>0.51524710830720366</v>
      </c>
    </row>
    <row r="604" spans="10:14">
      <c r="J604" s="58">
        <f t="shared" si="47"/>
        <v>2.6655085914961525</v>
      </c>
      <c r="K604" s="58">
        <f t="shared" si="48"/>
        <v>4.6403270606381302</v>
      </c>
      <c r="L604" s="58">
        <f t="shared" si="49"/>
        <v>7.7939342586261251</v>
      </c>
      <c r="M604" s="2">
        <f t="shared" si="50"/>
        <v>95.199999999998568</v>
      </c>
      <c r="N604" s="58">
        <f t="shared" si="46"/>
        <v>0.50420168067242699</v>
      </c>
    </row>
    <row r="605" spans="10:14">
      <c r="J605" s="58">
        <f t="shared" si="47"/>
        <v>2.6758500038961972</v>
      </c>
      <c r="K605" s="58">
        <f t="shared" si="48"/>
        <v>4.6516602470827619</v>
      </c>
      <c r="L605" s="58">
        <f t="shared" si="49"/>
        <v>7.8059358060948458</v>
      </c>
      <c r="M605" s="2">
        <f t="shared" si="50"/>
        <v>95.299999999998562</v>
      </c>
      <c r="N605" s="58">
        <f t="shared" si="46"/>
        <v>0.49317943336846959</v>
      </c>
    </row>
    <row r="606" spans="10:14">
      <c r="J606" s="58">
        <f t="shared" si="47"/>
        <v>2.6862231400256977</v>
      </c>
      <c r="K606" s="58">
        <f t="shared" si="48"/>
        <v>4.6630070780287394</v>
      </c>
      <c r="L606" s="58">
        <f t="shared" si="49"/>
        <v>7.8179373968809882</v>
      </c>
      <c r="M606" s="2">
        <f t="shared" si="50"/>
        <v>95.399999999998556</v>
      </c>
      <c r="N606" s="58">
        <f t="shared" si="46"/>
        <v>0.48218029350120695</v>
      </c>
    </row>
    <row r="607" spans="10:14">
      <c r="J607" s="58">
        <f t="shared" si="47"/>
        <v>2.696628125114799</v>
      </c>
      <c r="K607" s="58">
        <f t="shared" si="48"/>
        <v>4.6743675695440841</v>
      </c>
      <c r="L607" s="58">
        <f t="shared" si="49"/>
        <v>7.8299390275028831</v>
      </c>
      <c r="M607" s="2">
        <f t="shared" si="50"/>
        <v>95.49999999999855</v>
      </c>
      <c r="N607" s="58">
        <f t="shared" si="46"/>
        <v>0.47120418848183476</v>
      </c>
    </row>
    <row r="608" spans="10:14">
      <c r="J608" s="58">
        <f t="shared" si="47"/>
        <v>2.7070650851341242</v>
      </c>
      <c r="K608" s="58">
        <f t="shared" si="48"/>
        <v>4.6857417377534496</v>
      </c>
      <c r="L608" s="58">
        <f t="shared" si="49"/>
        <v>7.8419406944940198</v>
      </c>
      <c r="M608" s="2">
        <f t="shared" si="50"/>
        <v>95.599999999998545</v>
      </c>
      <c r="N608" s="58">
        <f t="shared" si="46"/>
        <v>0.46025104602526312</v>
      </c>
    </row>
    <row r="609" spans="10:14">
      <c r="J609" s="58">
        <f t="shared" si="47"/>
        <v>2.7175341467997987</v>
      </c>
      <c r="K609" s="58">
        <f t="shared" si="48"/>
        <v>4.6971295988381456</v>
      </c>
      <c r="L609" s="58">
        <f t="shared" si="49"/>
        <v>7.853942394402968</v>
      </c>
      <c r="M609" s="2">
        <f t="shared" si="50"/>
        <v>95.699999999998539</v>
      </c>
      <c r="N609" s="58">
        <f t="shared" si="46"/>
        <v>0.44932079414853909</v>
      </c>
    </row>
    <row r="610" spans="10:14">
      <c r="J610" s="58">
        <f t="shared" si="47"/>
        <v>2.7280354375785265</v>
      </c>
      <c r="K610" s="58">
        <f t="shared" si="48"/>
        <v>4.7085311690361724</v>
      </c>
      <c r="L610" s="58">
        <f t="shared" si="49"/>
        <v>7.865944123793299</v>
      </c>
      <c r="M610" s="2">
        <f t="shared" si="50"/>
        <v>95.799999999998533</v>
      </c>
      <c r="N610" s="58">
        <f t="shared" si="46"/>
        <v>0.43841336116926222</v>
      </c>
    </row>
    <row r="611" spans="10:14">
      <c r="J611" s="58">
        <f t="shared" si="47"/>
        <v>2.7385690856927156</v>
      </c>
      <c r="K611" s="58">
        <f t="shared" si="48"/>
        <v>4.7199464646422538</v>
      </c>
      <c r="L611" s="58">
        <f t="shared" si="49"/>
        <v>7.8779458792435113</v>
      </c>
      <c r="M611" s="2">
        <f t="shared" si="50"/>
        <v>95.899999999998528</v>
      </c>
      <c r="N611" s="58">
        <f t="shared" si="46"/>
        <v>0.42752867570401776</v>
      </c>
    </row>
    <row r="612" spans="10:14">
      <c r="J612" s="58">
        <f t="shared" si="47"/>
        <v>2.7491352201256296</v>
      </c>
      <c r="K612" s="58">
        <f t="shared" si="48"/>
        <v>4.7313755020078627</v>
      </c>
      <c r="L612" s="58">
        <f t="shared" si="49"/>
        <v>7.8899476573469416</v>
      </c>
      <c r="M612" s="2">
        <f t="shared" si="50"/>
        <v>95.999999999998522</v>
      </c>
      <c r="N612" s="58">
        <f t="shared" si="46"/>
        <v>0.41666666666682772</v>
      </c>
    </row>
    <row r="613" spans="10:14">
      <c r="J613" s="58">
        <f t="shared" si="47"/>
        <v>2.7597339706266051</v>
      </c>
      <c r="K613" s="58">
        <f t="shared" si="48"/>
        <v>4.7428182975412616</v>
      </c>
      <c r="L613" s="58">
        <f t="shared" si="49"/>
        <v>7.9019494547117031</v>
      </c>
      <c r="M613" s="2">
        <f t="shared" si="50"/>
        <v>96.099999999998516</v>
      </c>
      <c r="N613" s="58">
        <f t="shared" si="46"/>
        <v>0.40582726326759122</v>
      </c>
    </row>
    <row r="614" spans="10:14">
      <c r="J614" s="58">
        <f t="shared" si="47"/>
        <v>2.7703654677163017</v>
      </c>
      <c r="K614" s="58">
        <f t="shared" si="48"/>
        <v>4.7542748677075322</v>
      </c>
      <c r="L614" s="58">
        <f t="shared" si="49"/>
        <v>7.913951267960595</v>
      </c>
      <c r="M614" s="2">
        <f t="shared" si="50"/>
        <v>96.199999999998511</v>
      </c>
      <c r="N614" s="58">
        <f t="shared" si="46"/>
        <v>0.39501039501055679</v>
      </c>
    </row>
    <row r="615" spans="10:14">
      <c r="J615" s="58">
        <f t="shared" si="47"/>
        <v>2.7810298426920044</v>
      </c>
      <c r="K615" s="58">
        <f t="shared" si="48"/>
        <v>4.765745229028612</v>
      </c>
      <c r="L615" s="58">
        <f t="shared" si="49"/>
        <v>7.9259530937310299</v>
      </c>
      <c r="M615" s="2">
        <f t="shared" si="50"/>
        <v>96.299999999998505</v>
      </c>
      <c r="N615" s="58">
        <f t="shared" si="46"/>
        <v>0.38421599169278764</v>
      </c>
    </row>
    <row r="616" spans="10:14">
      <c r="J616" s="58">
        <f t="shared" si="47"/>
        <v>2.7917272276329612</v>
      </c>
      <c r="K616" s="58">
        <f t="shared" si="48"/>
        <v>4.7772293980833229</v>
      </c>
      <c r="L616" s="58">
        <f t="shared" si="49"/>
        <v>7.9379549286749622</v>
      </c>
      <c r="M616" s="2">
        <f t="shared" si="50"/>
        <v>96.399999999998499</v>
      </c>
      <c r="N616" s="58">
        <f t="shared" si="46"/>
        <v>0.37344398340265172</v>
      </c>
    </row>
    <row r="617" spans="10:14">
      <c r="J617" s="58">
        <f t="shared" si="47"/>
        <v>2.802457755405793</v>
      </c>
      <c r="K617" s="58">
        <f t="shared" si="48"/>
        <v>4.7887273915074253</v>
      </c>
      <c r="L617" s="58">
        <f t="shared" si="49"/>
        <v>7.9499567694588089</v>
      </c>
      <c r="M617" s="2">
        <f t="shared" si="50"/>
        <v>96.499999999998494</v>
      </c>
      <c r="N617" s="58">
        <f t="shared" si="46"/>
        <v>0.36269430051829588</v>
      </c>
    </row>
    <row r="618" spans="10:14">
      <c r="J618" s="58">
        <f t="shared" si="47"/>
        <v>2.8132215596699139</v>
      </c>
      <c r="K618" s="58">
        <f t="shared" si="48"/>
        <v>4.8002392259936322</v>
      </c>
      <c r="L618" s="58">
        <f t="shared" si="49"/>
        <v>7.9619586127633752</v>
      </c>
      <c r="M618" s="2">
        <f t="shared" si="50"/>
        <v>96.599999999998488</v>
      </c>
      <c r="N618" s="58">
        <f t="shared" si="46"/>
        <v>0.35196687370616608</v>
      </c>
    </row>
    <row r="619" spans="10:14">
      <c r="J619" s="58">
        <f t="shared" si="47"/>
        <v>2.8240187748830343</v>
      </c>
      <c r="K619" s="58">
        <f t="shared" si="48"/>
        <v>4.8117649182916642</v>
      </c>
      <c r="L619" s="58">
        <f t="shared" si="49"/>
        <v>7.9739604552837777</v>
      </c>
      <c r="M619" s="2">
        <f t="shared" si="50"/>
        <v>96.699999999998482</v>
      </c>
      <c r="N619" s="58">
        <f t="shared" si="46"/>
        <v>0.34126163391950115</v>
      </c>
    </row>
    <row r="620" spans="10:14">
      <c r="J620" s="58">
        <f t="shared" si="47"/>
        <v>2.8348495363066926</v>
      </c>
      <c r="K620" s="58">
        <f t="shared" si="48"/>
        <v>4.8233044852082854</v>
      </c>
      <c r="L620" s="58">
        <f t="shared" si="49"/>
        <v>7.9859622937293802</v>
      </c>
      <c r="M620" s="2">
        <f t="shared" si="50"/>
        <v>96.799999999998477</v>
      </c>
      <c r="N620" s="58">
        <f t="shared" si="46"/>
        <v>0.33057851239685654</v>
      </c>
    </row>
    <row r="621" spans="10:14">
      <c r="J621" s="58">
        <f t="shared" si="47"/>
        <v>2.8457139800118356</v>
      </c>
      <c r="K621" s="58">
        <f t="shared" si="48"/>
        <v>4.8348579436073358</v>
      </c>
      <c r="L621" s="58">
        <f t="shared" si="49"/>
        <v>7.9979641248237021</v>
      </c>
      <c r="M621" s="2">
        <f t="shared" si="50"/>
        <v>96.899999999998471</v>
      </c>
      <c r="N621" s="58">
        <f t="shared" si="46"/>
        <v>0.3199174406606371</v>
      </c>
    </row>
    <row r="622" spans="10:14">
      <c r="J622" s="58">
        <f t="shared" si="47"/>
        <v>2.8566122428844585</v>
      </c>
      <c r="K622" s="58">
        <f t="shared" si="48"/>
        <v>4.8464253104097752</v>
      </c>
      <c r="L622" s="58">
        <f t="shared" si="49"/>
        <v>8.0099659453043639</v>
      </c>
      <c r="M622" s="2">
        <f t="shared" si="50"/>
        <v>96.999999999998465</v>
      </c>
      <c r="N622" s="58">
        <f t="shared" si="46"/>
        <v>0.30927835051562624</v>
      </c>
    </row>
    <row r="623" spans="10:14">
      <c r="J623" s="58">
        <f t="shared" si="47"/>
        <v>2.8675444626312858</v>
      </c>
      <c r="K623" s="58">
        <f t="shared" si="48"/>
        <v>4.858006602593731</v>
      </c>
      <c r="L623" s="58">
        <f t="shared" si="49"/>
        <v>8.0219677519230039</v>
      </c>
      <c r="M623" s="2">
        <f t="shared" si="50"/>
        <v>97.09999999999846</v>
      </c>
      <c r="N623" s="58">
        <f t="shared" si="46"/>
        <v>0.29866117404753645</v>
      </c>
    </row>
    <row r="624" spans="10:14">
      <c r="J624" s="58">
        <f t="shared" si="47"/>
        <v>2.8785107777855066</v>
      </c>
      <c r="K624" s="58">
        <f t="shared" si="48"/>
        <v>4.8696018371945309</v>
      </c>
      <c r="L624" s="58">
        <f t="shared" si="49"/>
        <v>8.0339695414452041</v>
      </c>
      <c r="M624" s="2">
        <f t="shared" si="50"/>
        <v>97.199999999998454</v>
      </c>
      <c r="N624" s="58">
        <f t="shared" si="46"/>
        <v>0.28806584362156329</v>
      </c>
    </row>
    <row r="625" spans="10:14">
      <c r="J625" s="58">
        <f t="shared" si="47"/>
        <v>2.8895113277125613</v>
      </c>
      <c r="K625" s="58">
        <f t="shared" si="48"/>
        <v>4.8812110313047548</v>
      </c>
      <c r="L625" s="58">
        <f t="shared" si="49"/>
        <v>8.0459713106504367</v>
      </c>
      <c r="M625" s="2">
        <f t="shared" si="50"/>
        <v>97.299999999998448</v>
      </c>
      <c r="N625" s="58">
        <f t="shared" si="46"/>
        <v>0.27749229188094482</v>
      </c>
    </row>
    <row r="626" spans="10:14">
      <c r="J626" s="58">
        <f t="shared" si="47"/>
        <v>2.9005462526159711</v>
      </c>
      <c r="K626" s="58">
        <f t="shared" si="48"/>
        <v>4.8928342020742681</v>
      </c>
      <c r="L626" s="58">
        <f t="shared" si="49"/>
        <v>8.0579730563319583</v>
      </c>
      <c r="M626" s="2">
        <f t="shared" si="50"/>
        <v>97.399999999998442</v>
      </c>
      <c r="N626" s="58">
        <f t="shared" si="46"/>
        <v>0.26694045174554404</v>
      </c>
    </row>
    <row r="627" spans="10:14">
      <c r="J627" s="58">
        <f t="shared" si="47"/>
        <v>2.9116156935432316</v>
      </c>
      <c r="K627" s="58">
        <f t="shared" si="48"/>
        <v>4.9044713667102746</v>
      </c>
      <c r="L627" s="58">
        <f t="shared" si="49"/>
        <v>8.0699747752967763</v>
      </c>
      <c r="M627" s="2">
        <f t="shared" si="50"/>
        <v>97.499999999998437</v>
      </c>
      <c r="N627" s="58">
        <f t="shared" si="46"/>
        <v>0.2564102564104207</v>
      </c>
    </row>
    <row r="628" spans="10:14">
      <c r="J628" s="58">
        <f t="shared" si="47"/>
        <v>2.9227197923917503</v>
      </c>
      <c r="K628" s="58">
        <f t="shared" si="48"/>
        <v>4.9161225424773587</v>
      </c>
      <c r="L628" s="58">
        <f t="shared" si="49"/>
        <v>8.0819764643655549</v>
      </c>
      <c r="M628" s="2">
        <f t="shared" si="50"/>
        <v>97.599999999998431</v>
      </c>
      <c r="N628" s="58">
        <f t="shared" ref="N628:N650" si="51">IF(M628&gt;0,1000/M628-10,1000)</f>
        <v>0.24590163934442621</v>
      </c>
    </row>
    <row r="629" spans="10:14">
      <c r="J629" s="58">
        <f t="shared" si="47"/>
        <v>2.9338586919148359</v>
      </c>
      <c r="K629" s="58">
        <f t="shared" si="48"/>
        <v>4.9277877466975317</v>
      </c>
      <c r="L629" s="58">
        <f t="shared" si="49"/>
        <v>8.0939781203725492</v>
      </c>
      <c r="M629" s="2">
        <f t="shared" si="50"/>
        <v>97.699999999998425</v>
      </c>
      <c r="N629" s="58">
        <f t="shared" si="51"/>
        <v>0.23541453428880388</v>
      </c>
    </row>
    <row r="630" spans="10:14">
      <c r="J630" s="58">
        <f t="shared" si="47"/>
        <v>2.9450325357277545</v>
      </c>
      <c r="K630" s="58">
        <f t="shared" si="48"/>
        <v>4.9394669967502809</v>
      </c>
      <c r="L630" s="58">
        <f t="shared" si="49"/>
        <v>8.1059797401655445</v>
      </c>
      <c r="M630" s="2">
        <f t="shared" si="50"/>
        <v>97.79999999999842</v>
      </c>
      <c r="N630" s="58">
        <f t="shared" si="51"/>
        <v>0.2249488752557891</v>
      </c>
    </row>
    <row r="631" spans="10:14">
      <c r="J631" s="58">
        <f t="shared" si="47"/>
        <v>2.9562414683138147</v>
      </c>
      <c r="K631" s="58">
        <f t="shared" si="48"/>
        <v>4.9511603100726109</v>
      </c>
      <c r="L631" s="58">
        <f t="shared" si="49"/>
        <v>8.1179813206057752</v>
      </c>
      <c r="M631" s="2">
        <f t="shared" si="50"/>
        <v>97.899999999998414</v>
      </c>
      <c r="N631" s="58">
        <f t="shared" si="51"/>
        <v>0.21450459652723453</v>
      </c>
    </row>
    <row r="632" spans="10:14">
      <c r="J632" s="58">
        <f t="shared" si="47"/>
        <v>2.967485635030533</v>
      </c>
      <c r="K632" s="58">
        <f t="shared" si="48"/>
        <v>4.9628677041591036</v>
      </c>
      <c r="L632" s="58">
        <f t="shared" si="49"/>
        <v>8.1299828585678657</v>
      </c>
      <c r="M632" s="2">
        <f t="shared" si="50"/>
        <v>97.999999999998408</v>
      </c>
      <c r="N632" s="58">
        <f t="shared" si="51"/>
        <v>0.20408163265322621</v>
      </c>
    </row>
    <row r="633" spans="10:14">
      <c r="J633" s="58">
        <f t="shared" si="47"/>
        <v>2.9787651821158336</v>
      </c>
      <c r="K633" s="58">
        <f t="shared" si="48"/>
        <v>4.9745891965619506</v>
      </c>
      <c r="L633" s="58">
        <f t="shared" si="49"/>
        <v>8.1419843509397509</v>
      </c>
      <c r="M633" s="2">
        <f t="shared" si="50"/>
        <v>98.099999999998403</v>
      </c>
      <c r="N633" s="58">
        <f t="shared" si="51"/>
        <v>0.19367991845072652</v>
      </c>
    </row>
    <row r="634" spans="10:14">
      <c r="J634" s="58">
        <f t="shared" si="47"/>
        <v>2.9900802566943216</v>
      </c>
      <c r="K634" s="58">
        <f t="shared" si="48"/>
        <v>4.9863248048910229</v>
      </c>
      <c r="L634" s="58">
        <f t="shared" si="49"/>
        <v>8.153985794622626</v>
      </c>
      <c r="M634" s="2">
        <f t="shared" si="50"/>
        <v>98.199999999998397</v>
      </c>
      <c r="N634" s="58">
        <f t="shared" si="51"/>
        <v>0.18329938900220277</v>
      </c>
    </row>
    <row r="635" spans="10:14">
      <c r="J635" s="58">
        <f t="shared" si="47"/>
        <v>3.0014310067835965</v>
      </c>
      <c r="K635" s="58">
        <f t="shared" si="48"/>
        <v>4.9980745468139069</v>
      </c>
      <c r="L635" s="58">
        <f t="shared" si="49"/>
        <v>8.1659871865308595</v>
      </c>
      <c r="M635" s="2">
        <f t="shared" si="50"/>
        <v>98.299999999998391</v>
      </c>
      <c r="N635" s="58">
        <f t="shared" si="51"/>
        <v>0.17293997965428609</v>
      </c>
    </row>
    <row r="636" spans="10:14">
      <c r="J636" s="58">
        <f t="shared" ref="J636:J650" si="52">IF(D$5&gt;0.2*($N636),(D$5-0.2*($N636))^2/(D$5+0.8*($N636)),0)</f>
        <v>3.012817581300629</v>
      </c>
      <c r="K636" s="58">
        <f t="shared" ref="K636:K650" si="53">IF(E$5&gt;0.2*($N636),(E$5-0.2*($N636))^2/(E$5+0.8*($N636)),0)</f>
        <v>5.0098384400559617</v>
      </c>
      <c r="L636" s="58">
        <f t="shared" ref="L636:L650" si="54">IF(F$5&gt;0.2*($N636),(F$5-0.2*($N636))^2/(F$5+0.8*($N636)),0)</f>
        <v>8.1779885235919423</v>
      </c>
      <c r="M636" s="2">
        <f t="shared" ref="M636:M650" si="55">M635+0.1</f>
        <v>98.399999999998386</v>
      </c>
      <c r="N636" s="58">
        <f t="shared" si="51"/>
        <v>0.16260162601642669</v>
      </c>
    </row>
    <row r="637" spans="10:14">
      <c r="J637" s="58">
        <f t="shared" si="52"/>
        <v>3.0242401300681996</v>
      </c>
      <c r="K637" s="58">
        <f t="shared" si="53"/>
        <v>5.0216165024003727</v>
      </c>
      <c r="L637" s="58">
        <f t="shared" si="54"/>
        <v>8.1899898027464015</v>
      </c>
      <c r="M637" s="2">
        <f t="shared" si="55"/>
        <v>98.49999999999838</v>
      </c>
      <c r="N637" s="58">
        <f t="shared" si="51"/>
        <v>0.15228426395955807</v>
      </c>
    </row>
    <row r="638" spans="10:14">
      <c r="J638" s="58">
        <f t="shared" si="52"/>
        <v>3.0356988038213859</v>
      </c>
      <c r="K638" s="58">
        <f t="shared" si="53"/>
        <v>5.0334087516882038</v>
      </c>
      <c r="L638" s="58">
        <f t="shared" si="54"/>
        <v>8.2019910209477551</v>
      </c>
      <c r="M638" s="2">
        <f t="shared" si="55"/>
        <v>98.599999999998374</v>
      </c>
      <c r="N638" s="58">
        <f t="shared" si="51"/>
        <v>0.14198782961477185</v>
      </c>
    </row>
    <row r="639" spans="10:14">
      <c r="J639" s="58">
        <f t="shared" si="52"/>
        <v>3.0471937542141125</v>
      </c>
      <c r="K639" s="58">
        <f t="shared" si="53"/>
        <v>5.0452152058184483</v>
      </c>
      <c r="L639" s="58">
        <f t="shared" si="54"/>
        <v>8.2139921751624385</v>
      </c>
      <c r="M639" s="2">
        <f t="shared" si="55"/>
        <v>98.699999999998369</v>
      </c>
      <c r="N639" s="58">
        <f t="shared" si="51"/>
        <v>0.13171225937200148</v>
      </c>
    </row>
    <row r="640" spans="10:14">
      <c r="J640" s="58">
        <f t="shared" si="52"/>
        <v>3.0587251338257628</v>
      </c>
      <c r="K640" s="58">
        <f t="shared" si="53"/>
        <v>5.0570358827480906</v>
      </c>
      <c r="L640" s="58">
        <f t="shared" si="54"/>
        <v>8.2259932623697356</v>
      </c>
      <c r="M640" s="2">
        <f t="shared" si="55"/>
        <v>98.799999999998363</v>
      </c>
      <c r="N640" s="58">
        <f t="shared" si="51"/>
        <v>0.12145748987870952</v>
      </c>
    </row>
    <row r="641" spans="10:14">
      <c r="J641" s="58">
        <f t="shared" si="52"/>
        <v>3.0702930961678394</v>
      </c>
      <c r="K641" s="58">
        <f t="shared" si="53"/>
        <v>5.0688708004921521</v>
      </c>
      <c r="L641" s="58">
        <f t="shared" si="54"/>
        <v>8.2379942795617112</v>
      </c>
      <c r="M641" s="2">
        <f t="shared" si="55"/>
        <v>98.899999999998357</v>
      </c>
      <c r="N641" s="58">
        <f t="shared" si="51"/>
        <v>0.11122345803859091</v>
      </c>
    </row>
    <row r="642" spans="10:14">
      <c r="J642" s="58">
        <f t="shared" si="52"/>
        <v>3.0818977956907081</v>
      </c>
      <c r="K642" s="58">
        <f t="shared" si="53"/>
        <v>5.0807199771237608</v>
      </c>
      <c r="L642" s="58">
        <f t="shared" si="54"/>
        <v>8.2499952237431557</v>
      </c>
      <c r="M642" s="2">
        <f t="shared" si="55"/>
        <v>98.999999999998352</v>
      </c>
      <c r="N642" s="58">
        <f t="shared" si="51"/>
        <v>0.10101010101026908</v>
      </c>
    </row>
    <row r="643" spans="10:14">
      <c r="J643" s="58">
        <f t="shared" si="52"/>
        <v>3.0935393877903667</v>
      </c>
      <c r="K643" s="58">
        <f t="shared" si="53"/>
        <v>5.0925834307741944</v>
      </c>
      <c r="L643" s="58">
        <f t="shared" si="54"/>
        <v>8.2619960919315201</v>
      </c>
      <c r="M643" s="2">
        <f t="shared" si="55"/>
        <v>99.099999999998346</v>
      </c>
      <c r="N643" s="58">
        <f t="shared" si="51"/>
        <v>9.0817356206020605E-2</v>
      </c>
    </row>
    <row r="644" spans="10:14">
      <c r="J644" s="58">
        <f t="shared" si="52"/>
        <v>3.1052180288153108</v>
      </c>
      <c r="K644" s="58">
        <f t="shared" si="53"/>
        <v>5.1044611796329473</v>
      </c>
      <c r="L644" s="58">
        <f t="shared" si="54"/>
        <v>8.2739968811568332</v>
      </c>
      <c r="M644" s="2">
        <f t="shared" si="55"/>
        <v>99.19999999999834</v>
      </c>
      <c r="N644" s="58">
        <f t="shared" si="51"/>
        <v>8.0645161290490819E-2</v>
      </c>
    </row>
    <row r="645" spans="10:14">
      <c r="J645" s="58">
        <f t="shared" si="52"/>
        <v>3.1169338760734382</v>
      </c>
      <c r="K645" s="58">
        <f t="shared" si="53"/>
        <v>5.1163532419477864</v>
      </c>
      <c r="L645" s="58">
        <f t="shared" si="54"/>
        <v>8.2859975884616652</v>
      </c>
      <c r="M645" s="2">
        <f t="shared" si="55"/>
        <v>99.299999999998334</v>
      </c>
      <c r="N645" s="58">
        <f t="shared" si="51"/>
        <v>7.0493454179423765E-2</v>
      </c>
    </row>
    <row r="646" spans="10:14">
      <c r="J646" s="58">
        <f t="shared" si="52"/>
        <v>3.1286870878390278</v>
      </c>
      <c r="K646" s="58">
        <f t="shared" si="53"/>
        <v>5.128259636024814</v>
      </c>
      <c r="L646" s="58">
        <f t="shared" si="54"/>
        <v>8.2979982109010528</v>
      </c>
      <c r="M646" s="2">
        <f t="shared" si="55"/>
        <v>99.399999999998329</v>
      </c>
      <c r="N646" s="58">
        <f t="shared" si="51"/>
        <v>6.0362173038399192E-2</v>
      </c>
    </row>
    <row r="647" spans="10:14">
      <c r="J647" s="58">
        <f t="shared" si="52"/>
        <v>3.1404778233597779</v>
      </c>
      <c r="K647" s="58">
        <f t="shared" si="53"/>
        <v>5.1401803802285233</v>
      </c>
      <c r="L647" s="58">
        <f t="shared" si="54"/>
        <v>8.309998745542428</v>
      </c>
      <c r="M647" s="2">
        <f t="shared" si="55"/>
        <v>99.499999999998323</v>
      </c>
      <c r="N647" s="58">
        <f t="shared" si="51"/>
        <v>5.0251256281576673E-2</v>
      </c>
    </row>
    <row r="648" spans="10:14">
      <c r="J648" s="58">
        <f t="shared" si="52"/>
        <v>3.1523062428639022</v>
      </c>
      <c r="K648" s="58">
        <f t="shared" si="53"/>
        <v>5.15211549298186</v>
      </c>
      <c r="L648" s="58">
        <f t="shared" si="54"/>
        <v>8.321999189465572</v>
      </c>
      <c r="M648" s="2">
        <f t="shared" si="55"/>
        <v>99.599999999998317</v>
      </c>
      <c r="N648" s="58">
        <f t="shared" si="51"/>
        <v>4.0160642570450378E-2</v>
      </c>
    </row>
    <row r="649" spans="10:14">
      <c r="J649" s="58">
        <f t="shared" si="52"/>
        <v>3.1641725075673</v>
      </c>
      <c r="K649" s="58">
        <f t="shared" si="53"/>
        <v>5.1640649927662849</v>
      </c>
      <c r="L649" s="58">
        <f t="shared" si="54"/>
        <v>8.3339995397625337</v>
      </c>
      <c r="M649" s="2">
        <f t="shared" si="55"/>
        <v>99.699999999998312</v>
      </c>
      <c r="N649" s="58">
        <f t="shared" si="51"/>
        <v>3.00902708126074E-2</v>
      </c>
    </row>
    <row r="650" spans="10:14">
      <c r="J650" s="58">
        <f t="shared" si="52"/>
        <v>3.1760767796807947</v>
      </c>
      <c r="K650" s="58">
        <f t="shared" si="53"/>
        <v>5.1760288981218441</v>
      </c>
      <c r="L650" s="58">
        <f t="shared" si="54"/>
        <v>8.3459997935375903</v>
      </c>
      <c r="M650" s="2">
        <f t="shared" si="55"/>
        <v>99.799999999998306</v>
      </c>
      <c r="N650" s="58">
        <f t="shared" si="51"/>
        <v>2.0040080160491414E-2</v>
      </c>
    </row>
  </sheetData>
  <sheetProtection password="C9FF" sheet="1" objects="1" scenarios="1"/>
  <mergeCells count="104">
    <mergeCell ref="A1:H1"/>
    <mergeCell ref="A25:B25"/>
    <mergeCell ref="A21:B21"/>
    <mergeCell ref="A17:B17"/>
    <mergeCell ref="A13:B13"/>
    <mergeCell ref="A9:B9"/>
    <mergeCell ref="A5:B5"/>
    <mergeCell ref="A7:B7"/>
    <mergeCell ref="A8:B8"/>
    <mergeCell ref="A10:B10"/>
    <mergeCell ref="A11:B11"/>
    <mergeCell ref="A20:B20"/>
    <mergeCell ref="A23:B23"/>
    <mergeCell ref="A12:B12"/>
    <mergeCell ref="A15:B15"/>
    <mergeCell ref="A16:B16"/>
    <mergeCell ref="A118:C118"/>
    <mergeCell ref="A99:B100"/>
    <mergeCell ref="A103:C103"/>
    <mergeCell ref="A104:C104"/>
    <mergeCell ref="A107:F107"/>
    <mergeCell ref="A108:B108"/>
    <mergeCell ref="A109:B110"/>
    <mergeCell ref="A111:B112"/>
    <mergeCell ref="A113:B114"/>
    <mergeCell ref="A117:C117"/>
    <mergeCell ref="A76:C76"/>
    <mergeCell ref="A79:F79"/>
    <mergeCell ref="A80:B80"/>
    <mergeCell ref="A85:B86"/>
    <mergeCell ref="A95:B96"/>
    <mergeCell ref="A89:C89"/>
    <mergeCell ref="A90:C90"/>
    <mergeCell ref="A81:B82"/>
    <mergeCell ref="A83:B84"/>
    <mergeCell ref="J47:N47"/>
    <mergeCell ref="A19:B19"/>
    <mergeCell ref="A24:B24"/>
    <mergeCell ref="A51:F51"/>
    <mergeCell ref="A52:B52"/>
    <mergeCell ref="A27:B27"/>
    <mergeCell ref="A28:B28"/>
    <mergeCell ref="A29:B29"/>
    <mergeCell ref="A31:B31"/>
    <mergeCell ref="A32:B32"/>
    <mergeCell ref="A33:B33"/>
    <mergeCell ref="A35:B35"/>
    <mergeCell ref="A36:B36"/>
    <mergeCell ref="A37:B37"/>
    <mergeCell ref="A39:B39"/>
    <mergeCell ref="A40:B40"/>
    <mergeCell ref="A122:B122"/>
    <mergeCell ref="A123:B124"/>
    <mergeCell ref="A125:B126"/>
    <mergeCell ref="A127:B128"/>
    <mergeCell ref="A131:C131"/>
    <mergeCell ref="A41:B41"/>
    <mergeCell ref="A43:B43"/>
    <mergeCell ref="A44:B44"/>
    <mergeCell ref="A45:B45"/>
    <mergeCell ref="A121:F121"/>
    <mergeCell ref="A75:C75"/>
    <mergeCell ref="A62:C62"/>
    <mergeCell ref="A53:B54"/>
    <mergeCell ref="A55:B56"/>
    <mergeCell ref="A61:C61"/>
    <mergeCell ref="A57:B58"/>
    <mergeCell ref="A69:B70"/>
    <mergeCell ref="A71:B72"/>
    <mergeCell ref="A67:B68"/>
    <mergeCell ref="A65:F65"/>
    <mergeCell ref="A66:B66"/>
    <mergeCell ref="A93:F93"/>
    <mergeCell ref="A94:B94"/>
    <mergeCell ref="A97:B98"/>
    <mergeCell ref="A141:B142"/>
    <mergeCell ref="A145:C145"/>
    <mergeCell ref="A146:C146"/>
    <mergeCell ref="A149:F149"/>
    <mergeCell ref="A150:B150"/>
    <mergeCell ref="A132:C132"/>
    <mergeCell ref="A135:F135"/>
    <mergeCell ref="A136:B136"/>
    <mergeCell ref="A137:B138"/>
    <mergeCell ref="A139:B140"/>
    <mergeCell ref="A163:F163"/>
    <mergeCell ref="A164:B164"/>
    <mergeCell ref="A165:B166"/>
    <mergeCell ref="A167:B168"/>
    <mergeCell ref="A169:B170"/>
    <mergeCell ref="A151:B152"/>
    <mergeCell ref="A153:B154"/>
    <mergeCell ref="A155:B156"/>
    <mergeCell ref="A159:C159"/>
    <mergeCell ref="A160:C160"/>
    <mergeCell ref="A181:B182"/>
    <mergeCell ref="A183:B184"/>
    <mergeCell ref="A187:C187"/>
    <mergeCell ref="A188:C188"/>
    <mergeCell ref="A173:C173"/>
    <mergeCell ref="A174:C174"/>
    <mergeCell ref="A177:F177"/>
    <mergeCell ref="A178:B178"/>
    <mergeCell ref="A179:B180"/>
  </mergeCells>
  <phoneticPr fontId="2" type="noConversion"/>
  <printOptions gridLines="1"/>
  <pageMargins left="0.75" right="0.75" top="1" bottom="1" header="0.5" footer="0.5"/>
  <pageSetup scale="59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Q291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8" width="14.7109375" style="3" customWidth="1"/>
    <col min="19" max="19" width="14.7109375" style="22" customWidth="1"/>
    <col min="20" max="20" width="14.7109375" style="2" customWidth="1"/>
    <col min="21" max="21" width="10.5703125" style="2" customWidth="1"/>
    <col min="22" max="29" width="9.140625" style="2" hidden="1" customWidth="1"/>
    <col min="30" max="39" width="9.140625" style="28" hidden="1" customWidth="1"/>
    <col min="40" max="40" width="8.85546875" hidden="1" customWidth="1"/>
    <col min="41" max="41" width="0" hidden="1" customWidth="1"/>
    <col min="42" max="43" width="0" style="2" hidden="1" customWidth="1"/>
    <col min="44" max="16384" width="8.85546875" style="2"/>
  </cols>
  <sheetData>
    <row r="1" spans="1:39" ht="18.75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>
      <c r="A2" s="187" t="s">
        <v>109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>
      <c r="A4" s="285" t="s">
        <v>113</v>
      </c>
      <c r="B4" s="285"/>
      <c r="C4"/>
      <c r="D4" s="154"/>
      <c r="F4" s="2"/>
      <c r="G4" s="49"/>
      <c r="J4" s="2"/>
      <c r="K4" s="2"/>
      <c r="L4" s="2"/>
      <c r="M4" s="2"/>
      <c r="N4" s="2"/>
      <c r="O4" s="2"/>
      <c r="P4" s="2"/>
      <c r="Q4" s="2"/>
      <c r="R4" s="2"/>
      <c r="S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>
      <c r="A5" s="87" t="s">
        <v>33</v>
      </c>
      <c r="B5" s="194" t="s">
        <v>58</v>
      </c>
      <c r="C5"/>
      <c r="D5" s="154"/>
      <c r="E5" s="7" t="s">
        <v>14</v>
      </c>
      <c r="F5" s="50"/>
      <c r="G5" s="49"/>
      <c r="J5" s="2"/>
      <c r="K5" s="2"/>
      <c r="L5" s="2"/>
      <c r="M5" s="2"/>
      <c r="N5" s="2"/>
      <c r="O5" s="2"/>
      <c r="P5" s="2"/>
      <c r="Q5" s="2"/>
      <c r="R5" s="2"/>
      <c r="S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>
      <c r="A6" s="96" t="s">
        <v>25</v>
      </c>
      <c r="B6" s="263">
        <f>'Site Data'!E22</f>
        <v>0</v>
      </c>
      <c r="C6"/>
      <c r="D6" s="154"/>
      <c r="E6" s="120" t="s">
        <v>22</v>
      </c>
      <c r="F6" s="100">
        <f>IFERROR(B6/B11,0)</f>
        <v>0</v>
      </c>
      <c r="G6" s="49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>
      <c r="A7" s="99" t="s">
        <v>32</v>
      </c>
      <c r="B7" s="263">
        <f>'Site Data'!E23</f>
        <v>0</v>
      </c>
      <c r="C7"/>
      <c r="D7" s="154"/>
      <c r="E7" s="120" t="s">
        <v>24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>
      <c r="A8" s="99" t="s">
        <v>13</v>
      </c>
      <c r="B8" s="263">
        <f>'Site Data'!E24</f>
        <v>0</v>
      </c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>
      <c r="A10" s="99" t="s">
        <v>85</v>
      </c>
      <c r="B10" s="263">
        <f>'Site Data'!E25</f>
        <v>0</v>
      </c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>
      <c r="A11" s="99" t="s">
        <v>71</v>
      </c>
      <c r="B11" s="137">
        <f>SUM(B6:B10)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>
      <c r="A13" s="193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>
      <c r="A14" s="192" t="s">
        <v>10</v>
      </c>
      <c r="B14" s="194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>
      <c r="A15" s="188" t="s">
        <v>25</v>
      </c>
      <c r="B15" s="71">
        <v>0</v>
      </c>
      <c r="C15"/>
      <c r="D15" s="154"/>
      <c r="E15" s="193"/>
      <c r="F15" s="69"/>
      <c r="G15" s="16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>
      <c r="A16" s="46" t="s">
        <v>32</v>
      </c>
      <c r="B16" s="71">
        <v>0.25</v>
      </c>
      <c r="C16"/>
      <c r="D16" s="154"/>
      <c r="E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43">
      <c r="A17" s="46" t="s">
        <v>13</v>
      </c>
      <c r="B17" s="71">
        <v>0.95</v>
      </c>
      <c r="C17"/>
      <c r="D17" s="154"/>
      <c r="E17" s="347" t="s">
        <v>103</v>
      </c>
      <c r="F17" s="348"/>
      <c r="G17" s="67" t="str">
        <f>IF('Site Data'!E13="Yes",1.7/12*F9*B11-G12,"NA")</f>
        <v>NA</v>
      </c>
      <c r="H17" s="49"/>
      <c r="S17" s="3"/>
      <c r="T17" s="22"/>
      <c r="AD17" s="2"/>
    </row>
    <row r="18" spans="1:43">
      <c r="B18" s="2"/>
      <c r="C18"/>
      <c r="D18" s="154"/>
      <c r="E18" s="347" t="s">
        <v>104</v>
      </c>
      <c r="F18" s="348"/>
      <c r="G18" s="67" t="str">
        <f>IF(G17="NA","NA",G17*7.48)</f>
        <v>NA</v>
      </c>
      <c r="H18" s="49"/>
      <c r="J18" s="2"/>
      <c r="K18" s="2"/>
      <c r="S18" s="3"/>
      <c r="T18" s="22"/>
      <c r="AD18" s="2"/>
    </row>
    <row r="19" spans="1:43" s="14" customFormat="1">
      <c r="A19" s="9" t="s">
        <v>157</v>
      </c>
      <c r="B19" s="48"/>
      <c r="D19" s="48"/>
      <c r="E19" s="2"/>
      <c r="F19" s="2"/>
      <c r="G19" s="2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/>
      <c r="AO19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/>
      <c r="AO2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184</v>
      </c>
      <c r="I21" s="355" t="s">
        <v>87</v>
      </c>
      <c r="J21" s="356"/>
      <c r="K21" s="343" t="s">
        <v>88</v>
      </c>
      <c r="L21" s="338" t="s">
        <v>185</v>
      </c>
      <c r="M21" s="340" t="s">
        <v>186</v>
      </c>
      <c r="N21" s="345" t="s">
        <v>187</v>
      </c>
      <c r="O21" s="338" t="s">
        <v>188</v>
      </c>
      <c r="P21" s="338" t="s">
        <v>70</v>
      </c>
      <c r="Q21" s="340" t="s">
        <v>89</v>
      </c>
      <c r="R21" s="340" t="s">
        <v>101</v>
      </c>
      <c r="S21" s="334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/>
      <c r="AQ21"/>
    </row>
    <row r="22" spans="1:43" s="150" customFormat="1" ht="55.5" customHeight="1" thickBot="1">
      <c r="A22" s="350"/>
      <c r="B22" s="155" t="s">
        <v>58</v>
      </c>
      <c r="C22" s="152" t="s">
        <v>60</v>
      </c>
      <c r="D22" s="155" t="s">
        <v>58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35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/>
      <c r="AQ22"/>
    </row>
    <row r="23" spans="1:43" ht="19.5" customHeight="1">
      <c r="A23" s="294" t="str">
        <f>A77</f>
        <v>G1-2 Green Roof</v>
      </c>
      <c r="B23" s="137"/>
      <c r="C23" s="146" t="s">
        <v>25</v>
      </c>
      <c r="D23" s="161"/>
      <c r="E23" s="146" t="s">
        <v>13</v>
      </c>
      <c r="F23" s="332"/>
      <c r="G23" s="319">
        <f>'Site Data'!$E$16/12*$B$17*F23*0.5</f>
        <v>0</v>
      </c>
      <c r="H23" s="296">
        <f>1.7/12*('Site Data'!$H$31*B23+'Site Data'!$H$32*B24+'Site Data'!$H$33*SUM(D23:D24))</f>
        <v>0</v>
      </c>
      <c r="I23" s="336" t="s">
        <v>35</v>
      </c>
      <c r="J23" s="337"/>
      <c r="K23" s="302">
        <v>1</v>
      </c>
      <c r="L23" s="304">
        <f>W67</f>
        <v>0</v>
      </c>
      <c r="M23" s="304">
        <f>H23+L23</f>
        <v>0</v>
      </c>
      <c r="N23" s="306" t="s">
        <v>11</v>
      </c>
      <c r="O23" s="327"/>
      <c r="P23" s="317">
        <f>IF(O23*K23&lt;=M23,O23*K23,M23)</f>
        <v>0</v>
      </c>
      <c r="Q23" s="304">
        <f>M23-P23</f>
        <v>0</v>
      </c>
      <c r="R23" s="306" t="s">
        <v>11</v>
      </c>
      <c r="S23" s="315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/>
      <c r="AQ23"/>
    </row>
    <row r="24" spans="1:43" ht="19.5" customHeight="1" thickBot="1">
      <c r="A24" s="295"/>
      <c r="B24" s="137"/>
      <c r="C24" s="147" t="s">
        <v>32</v>
      </c>
      <c r="D24" s="162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16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/>
      <c r="AQ24"/>
    </row>
    <row r="25" spans="1:43" ht="19.5" customHeight="1">
      <c r="A25" s="294" t="str">
        <f>A78</f>
        <v>R1 Rainwater Harvesting</v>
      </c>
      <c r="B25" s="264"/>
      <c r="C25" s="146" t="s">
        <v>25</v>
      </c>
      <c r="D25" s="161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/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15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  <c r="AP25"/>
      <c r="AQ25"/>
    </row>
    <row r="26" spans="1:43" ht="19.5" customHeight="1" thickBot="1">
      <c r="A26" s="295"/>
      <c r="B26" s="265"/>
      <c r="C26" s="147" t="s">
        <v>32</v>
      </c>
      <c r="D26" s="162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16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/>
      <c r="AQ26"/>
    </row>
    <row r="27" spans="1:43" ht="19.5" customHeight="1">
      <c r="A27" s="294" t="str">
        <f>A79</f>
        <v>D1 Simple Disconnection to a Pervious Area</v>
      </c>
      <c r="B27" s="264"/>
      <c r="C27" s="146" t="s">
        <v>25</v>
      </c>
      <c r="D27" s="161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15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  <c r="AP27"/>
      <c r="AQ27"/>
    </row>
    <row r="28" spans="1:43" ht="19.5" customHeight="1" thickBot="1">
      <c r="A28" s="295"/>
      <c r="B28" s="265"/>
      <c r="C28" s="147" t="s">
        <v>32</v>
      </c>
      <c r="D28" s="162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16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/>
      <c r="AQ28"/>
    </row>
    <row r="29" spans="1:43" ht="19.5" customHeight="1">
      <c r="A29" s="294" t="str">
        <f>A80</f>
        <v>D2 Simple Disconnection to a Conservation Area</v>
      </c>
      <c r="B29" s="264"/>
      <c r="C29" s="146" t="s">
        <v>25</v>
      </c>
      <c r="D29" s="161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15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  <c r="AP29"/>
      <c r="AQ29"/>
    </row>
    <row r="30" spans="1:43" ht="19.5" customHeight="1" thickBot="1">
      <c r="A30" s="295"/>
      <c r="B30" s="265"/>
      <c r="C30" s="147" t="s">
        <v>32</v>
      </c>
      <c r="D30" s="162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16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/>
      <c r="AQ30"/>
    </row>
    <row r="31" spans="1:43" ht="19.5" customHeight="1">
      <c r="A31" s="294" t="str">
        <f>A81</f>
        <v>D3 Simple Disconnection to Amended Soils</v>
      </c>
      <c r="B31" s="264"/>
      <c r="C31" s="146" t="s">
        <v>25</v>
      </c>
      <c r="D31" s="161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15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  <c r="AP31"/>
      <c r="AQ31"/>
    </row>
    <row r="32" spans="1:43" ht="19.5" customHeight="1" thickBot="1">
      <c r="A32" s="295"/>
      <c r="B32" s="265"/>
      <c r="C32" s="147" t="s">
        <v>32</v>
      </c>
      <c r="D32" s="162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16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/>
      <c r="AQ32"/>
    </row>
    <row r="33" spans="1:43" ht="19.5" customHeight="1">
      <c r="A33" s="294" t="str">
        <f>A82</f>
        <v>P1-3 Permeable Pavement - Enhanced</v>
      </c>
      <c r="B33" s="156"/>
      <c r="C33" s="146" t="s">
        <v>25</v>
      </c>
      <c r="D33" s="161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15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  <c r="AP33"/>
      <c r="AQ33"/>
    </row>
    <row r="34" spans="1:43" ht="19.5" customHeight="1" thickBot="1">
      <c r="A34" s="295"/>
      <c r="B34" s="157"/>
      <c r="C34" s="147" t="s">
        <v>32</v>
      </c>
      <c r="D34" s="162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16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/>
      <c r="AQ34"/>
    </row>
    <row r="35" spans="1:43" ht="19.5" customHeight="1">
      <c r="A35" s="294" t="str">
        <f>A83</f>
        <v>P1-3 Permeable Pavement - Standard</v>
      </c>
      <c r="B35" s="156"/>
      <c r="C35" s="146" t="s">
        <v>25</v>
      </c>
      <c r="D35" s="161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15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  <c r="AP35"/>
      <c r="AQ35"/>
    </row>
    <row r="36" spans="1:43" ht="19.5" customHeight="1" thickBot="1">
      <c r="A36" s="295"/>
      <c r="B36" s="157"/>
      <c r="C36" s="147" t="s">
        <v>32</v>
      </c>
      <c r="D36" s="162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16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/>
      <c r="AQ36"/>
    </row>
    <row r="37" spans="1:43" ht="19.5" customHeight="1">
      <c r="A37" s="294" t="str">
        <f>A84</f>
        <v>B1-5 Bioretention - Enhanced</v>
      </c>
      <c r="B37" s="156"/>
      <c r="C37" s="146" t="s">
        <v>25</v>
      </c>
      <c r="D37" s="161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15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  <c r="AP37"/>
      <c r="AQ37"/>
    </row>
    <row r="38" spans="1:43" ht="19.5" customHeight="1" thickBot="1">
      <c r="A38" s="295"/>
      <c r="B38" s="157"/>
      <c r="C38" s="147" t="s">
        <v>32</v>
      </c>
      <c r="D38" s="162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16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/>
      <c r="AQ38"/>
    </row>
    <row r="39" spans="1:43" ht="19.5" customHeight="1">
      <c r="A39" s="294" t="str">
        <f>A85</f>
        <v>B1-5 Bioretention - Standard</v>
      </c>
      <c r="B39" s="156"/>
      <c r="C39" s="146" t="s">
        <v>25</v>
      </c>
      <c r="D39" s="161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>
        <v>269</v>
      </c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15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  <c r="AP39"/>
      <c r="AQ39"/>
    </row>
    <row r="40" spans="1:43" ht="19.5" customHeight="1" thickBot="1">
      <c r="A40" s="295"/>
      <c r="B40" s="157"/>
      <c r="C40" s="147" t="s">
        <v>32</v>
      </c>
      <c r="D40" s="162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16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/>
      <c r="AQ40"/>
    </row>
    <row r="41" spans="1:43" ht="19.5" customHeight="1">
      <c r="A41" s="294" t="str">
        <f>A86</f>
        <v>F1-4 Stormwater Filtering Systems</v>
      </c>
      <c r="B41" s="156"/>
      <c r="C41" s="146" t="s">
        <v>25</v>
      </c>
      <c r="D41" s="161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15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  <c r="AP41"/>
      <c r="AQ41"/>
    </row>
    <row r="42" spans="1:43" ht="19.5" customHeight="1" thickBot="1">
      <c r="A42" s="295"/>
      <c r="B42" s="157"/>
      <c r="C42" s="147" t="s">
        <v>32</v>
      </c>
      <c r="D42" s="162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16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/>
      <c r="AQ42"/>
    </row>
    <row r="43" spans="1:43" ht="19.5" customHeight="1">
      <c r="A43" s="294" t="str">
        <f>A87</f>
        <v>I1-2 Stormwater Infiltration</v>
      </c>
      <c r="B43" s="156"/>
      <c r="C43" s="146" t="s">
        <v>25</v>
      </c>
      <c r="D43" s="161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15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  <c r="AP43"/>
      <c r="AQ43"/>
    </row>
    <row r="44" spans="1:43" ht="19.5" customHeight="1" thickBot="1">
      <c r="A44" s="295"/>
      <c r="B44" s="157"/>
      <c r="C44" s="147" t="s">
        <v>32</v>
      </c>
      <c r="D44" s="162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16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/>
      <c r="AQ44"/>
    </row>
    <row r="45" spans="1:43" ht="19.5" customHeight="1">
      <c r="A45" s="294" t="str">
        <f>A88</f>
        <v>S1-3 Storage</v>
      </c>
      <c r="B45" s="156"/>
      <c r="C45" s="146" t="s">
        <v>25</v>
      </c>
      <c r="D45" s="161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15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  <c r="AP45"/>
      <c r="AQ45"/>
    </row>
    <row r="46" spans="1:43" ht="19.5" customHeight="1" thickBot="1">
      <c r="A46" s="295"/>
      <c r="B46" s="157"/>
      <c r="C46" s="147" t="s">
        <v>32</v>
      </c>
      <c r="D46" s="162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16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/>
      <c r="AQ46"/>
    </row>
    <row r="47" spans="1:43" ht="19.5" customHeight="1">
      <c r="A47" s="294" t="str">
        <f>A89</f>
        <v>P1-3 Stormwater Ponds</v>
      </c>
      <c r="B47" s="156"/>
      <c r="C47" s="146" t="s">
        <v>25</v>
      </c>
      <c r="D47" s="161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>IF(O47*K47&lt;=M47,O47*K47,M47)</f>
        <v>0</v>
      </c>
      <c r="Q47" s="304">
        <f>M47-P47</f>
        <v>0</v>
      </c>
      <c r="R47" s="306">
        <f>IF(O47&lt;=0,0,MIN(O47,H47+L47)-P47)</f>
        <v>0</v>
      </c>
      <c r="S47" s="315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2">IF($S47=W$22,$Q47,0)</f>
        <v>0</v>
      </c>
      <c r="X47" s="197">
        <f t="shared" si="12"/>
        <v>0</v>
      </c>
      <c r="Y47" s="197">
        <f t="shared" si="12"/>
        <v>0</v>
      </c>
      <c r="Z47" s="197">
        <f t="shared" si="12"/>
        <v>0</v>
      </c>
      <c r="AA47" s="197">
        <f t="shared" si="12"/>
        <v>0</v>
      </c>
      <c r="AB47" s="197">
        <f t="shared" si="12"/>
        <v>0</v>
      </c>
      <c r="AC47" s="197">
        <f t="shared" si="12"/>
        <v>0</v>
      </c>
      <c r="AD47" s="197">
        <f t="shared" si="12"/>
        <v>0</v>
      </c>
      <c r="AE47" s="197">
        <f t="shared" si="12"/>
        <v>0</v>
      </c>
      <c r="AF47" s="197">
        <f t="shared" si="12"/>
        <v>0</v>
      </c>
      <c r="AG47" s="197">
        <f t="shared" si="12"/>
        <v>0</v>
      </c>
      <c r="AH47" s="197">
        <f t="shared" si="12"/>
        <v>0</v>
      </c>
      <c r="AI47" s="197">
        <f t="shared" si="12"/>
        <v>0</v>
      </c>
      <c r="AJ47" s="197">
        <f t="shared" si="12"/>
        <v>0</v>
      </c>
      <c r="AK47" s="197">
        <f t="shared" si="12"/>
        <v>0</v>
      </c>
      <c r="AL47" s="197">
        <f t="shared" si="12"/>
        <v>0</v>
      </c>
      <c r="AM47" s="197">
        <f t="shared" si="12"/>
        <v>0</v>
      </c>
      <c r="AN47" s="197">
        <f t="shared" si="12"/>
        <v>0</v>
      </c>
      <c r="AO47" s="197">
        <f t="shared" si="12"/>
        <v>0</v>
      </c>
      <c r="AP47"/>
      <c r="AQ47"/>
    </row>
    <row r="48" spans="1:43" ht="19.5" customHeight="1" thickBot="1">
      <c r="A48" s="295"/>
      <c r="B48" s="157"/>
      <c r="C48" s="147" t="s">
        <v>32</v>
      </c>
      <c r="D48" s="162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16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/>
      <c r="AQ48"/>
    </row>
    <row r="49" spans="1:43" ht="19.5" customHeight="1">
      <c r="A49" s="294" t="str">
        <f>A90</f>
        <v>W1-2 Wetlands</v>
      </c>
      <c r="B49" s="156"/>
      <c r="C49" s="146" t="s">
        <v>25</v>
      </c>
      <c r="D49" s="161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3">IF(O49*K49&lt;=M49,O49*K49,M49)</f>
        <v>0</v>
      </c>
      <c r="Q49" s="304">
        <f>M49-P49</f>
        <v>0</v>
      </c>
      <c r="R49" s="306">
        <f>IF(O49&lt;=0,0,MIN(O49,H49+L49)-P49)</f>
        <v>0</v>
      </c>
      <c r="S49" s="315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4">IF($S49=W$22,$Q49,0)</f>
        <v>0</v>
      </c>
      <c r="X49" s="197">
        <f t="shared" si="14"/>
        <v>0</v>
      </c>
      <c r="Y49" s="197">
        <f t="shared" si="14"/>
        <v>0</v>
      </c>
      <c r="Z49" s="197">
        <f t="shared" si="14"/>
        <v>0</v>
      </c>
      <c r="AA49" s="197">
        <f t="shared" si="14"/>
        <v>0</v>
      </c>
      <c r="AB49" s="197">
        <f t="shared" si="14"/>
        <v>0</v>
      </c>
      <c r="AC49" s="197">
        <f t="shared" si="14"/>
        <v>0</v>
      </c>
      <c r="AD49" s="197">
        <f t="shared" si="14"/>
        <v>0</v>
      </c>
      <c r="AE49" s="197">
        <f t="shared" si="14"/>
        <v>0</v>
      </c>
      <c r="AF49" s="197">
        <f t="shared" si="14"/>
        <v>0</v>
      </c>
      <c r="AG49" s="197">
        <f t="shared" si="14"/>
        <v>0</v>
      </c>
      <c r="AH49" s="197">
        <f t="shared" si="14"/>
        <v>0</v>
      </c>
      <c r="AI49" s="197">
        <f t="shared" si="14"/>
        <v>0</v>
      </c>
      <c r="AJ49" s="197">
        <f t="shared" si="14"/>
        <v>0</v>
      </c>
      <c r="AK49" s="197">
        <f t="shared" si="14"/>
        <v>0</v>
      </c>
      <c r="AL49" s="197">
        <f t="shared" si="14"/>
        <v>0</v>
      </c>
      <c r="AM49" s="197">
        <f t="shared" si="14"/>
        <v>0</v>
      </c>
      <c r="AN49" s="197">
        <f t="shared" si="14"/>
        <v>0</v>
      </c>
      <c r="AO49" s="197">
        <f t="shared" si="14"/>
        <v>0</v>
      </c>
      <c r="AP49"/>
      <c r="AQ49"/>
    </row>
    <row r="50" spans="1:43" ht="19.5" customHeight="1" thickBot="1">
      <c r="A50" s="295"/>
      <c r="B50" s="157"/>
      <c r="C50" s="147" t="s">
        <v>32</v>
      </c>
      <c r="D50" s="162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16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/>
      <c r="AQ50"/>
    </row>
    <row r="51" spans="1:43" ht="19.5" customHeight="1">
      <c r="A51" s="294" t="str">
        <f>A91</f>
        <v>O1 Grass Channel</v>
      </c>
      <c r="B51" s="156"/>
      <c r="C51" s="146" t="s">
        <v>25</v>
      </c>
      <c r="D51" s="161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15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5">IF($S51=W$22,$Q51,0)</f>
        <v>0</v>
      </c>
      <c r="X51" s="197">
        <f t="shared" si="15"/>
        <v>0</v>
      </c>
      <c r="Y51" s="197">
        <f t="shared" si="15"/>
        <v>0</v>
      </c>
      <c r="Z51" s="197">
        <f t="shared" si="15"/>
        <v>0</v>
      </c>
      <c r="AA51" s="197">
        <f t="shared" si="15"/>
        <v>0</v>
      </c>
      <c r="AB51" s="197">
        <f t="shared" si="15"/>
        <v>0</v>
      </c>
      <c r="AC51" s="197">
        <f t="shared" si="15"/>
        <v>0</v>
      </c>
      <c r="AD51" s="197">
        <f t="shared" si="15"/>
        <v>0</v>
      </c>
      <c r="AE51" s="197">
        <f t="shared" si="15"/>
        <v>0</v>
      </c>
      <c r="AF51" s="197">
        <f t="shared" si="15"/>
        <v>0</v>
      </c>
      <c r="AG51" s="197">
        <f t="shared" si="15"/>
        <v>0</v>
      </c>
      <c r="AH51" s="197">
        <f t="shared" si="15"/>
        <v>0</v>
      </c>
      <c r="AI51" s="197">
        <f t="shared" si="15"/>
        <v>0</v>
      </c>
      <c r="AJ51" s="197">
        <f t="shared" si="15"/>
        <v>0</v>
      </c>
      <c r="AK51" s="197">
        <f t="shared" si="15"/>
        <v>0</v>
      </c>
      <c r="AL51" s="197">
        <f t="shared" si="15"/>
        <v>0</v>
      </c>
      <c r="AM51" s="197">
        <f t="shared" si="15"/>
        <v>0</v>
      </c>
      <c r="AN51" s="197">
        <f t="shared" si="15"/>
        <v>0</v>
      </c>
      <c r="AO51" s="197">
        <f t="shared" si="15"/>
        <v>0</v>
      </c>
      <c r="AP51"/>
      <c r="AQ51"/>
    </row>
    <row r="52" spans="1:43" ht="19.5" customHeight="1" thickBot="1">
      <c r="A52" s="295"/>
      <c r="B52" s="157"/>
      <c r="C52" s="147" t="s">
        <v>32</v>
      </c>
      <c r="D52" s="162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16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/>
      <c r="AQ52"/>
    </row>
    <row r="53" spans="1:43" ht="19.5" customHeight="1">
      <c r="A53" s="294" t="str">
        <f>A92</f>
        <v>O1 Grass Channel with Amended Soils</v>
      </c>
      <c r="B53" s="156"/>
      <c r="C53" s="146" t="s">
        <v>25</v>
      </c>
      <c r="D53" s="161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15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6">IF($S53=W$22,$Q53,0)</f>
        <v>0</v>
      </c>
      <c r="X53" s="197">
        <f t="shared" si="16"/>
        <v>0</v>
      </c>
      <c r="Y53" s="197">
        <f t="shared" si="16"/>
        <v>0</v>
      </c>
      <c r="Z53" s="197">
        <f t="shared" si="16"/>
        <v>0</v>
      </c>
      <c r="AA53" s="197">
        <f t="shared" si="16"/>
        <v>0</v>
      </c>
      <c r="AB53" s="197">
        <f t="shared" si="16"/>
        <v>0</v>
      </c>
      <c r="AC53" s="197">
        <f t="shared" si="16"/>
        <v>0</v>
      </c>
      <c r="AD53" s="197">
        <f t="shared" si="16"/>
        <v>0</v>
      </c>
      <c r="AE53" s="197">
        <f t="shared" si="16"/>
        <v>0</v>
      </c>
      <c r="AF53" s="197">
        <f t="shared" si="16"/>
        <v>0</v>
      </c>
      <c r="AG53" s="197">
        <f t="shared" si="16"/>
        <v>0</v>
      </c>
      <c r="AH53" s="197">
        <f t="shared" si="16"/>
        <v>0</v>
      </c>
      <c r="AI53" s="197">
        <f t="shared" si="16"/>
        <v>0</v>
      </c>
      <c r="AJ53" s="197">
        <f t="shared" si="16"/>
        <v>0</v>
      </c>
      <c r="AK53" s="197">
        <f t="shared" si="16"/>
        <v>0</v>
      </c>
      <c r="AL53" s="197">
        <f t="shared" si="16"/>
        <v>0</v>
      </c>
      <c r="AM53" s="197">
        <f t="shared" si="16"/>
        <v>0</v>
      </c>
      <c r="AN53" s="197">
        <f t="shared" si="16"/>
        <v>0</v>
      </c>
      <c r="AO53" s="197">
        <f t="shared" si="16"/>
        <v>0</v>
      </c>
      <c r="AP53"/>
      <c r="AQ53"/>
    </row>
    <row r="54" spans="1:43" ht="19.5" customHeight="1" thickBot="1">
      <c r="A54" s="295"/>
      <c r="B54" s="157"/>
      <c r="C54" s="147" t="s">
        <v>32</v>
      </c>
      <c r="D54" s="162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16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/>
      <c r="AQ54"/>
    </row>
    <row r="55" spans="1:43" ht="19.5" customHeight="1">
      <c r="A55" s="294" t="str">
        <f>A93</f>
        <v>O2 Dry Swale</v>
      </c>
      <c r="B55" s="156"/>
      <c r="C55" s="146" t="s">
        <v>25</v>
      </c>
      <c r="D55" s="161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15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7">IF($S55=W$22,$Q55,0)</f>
        <v>0</v>
      </c>
      <c r="X55" s="197">
        <f t="shared" si="17"/>
        <v>0</v>
      </c>
      <c r="Y55" s="197">
        <f t="shared" si="17"/>
        <v>0</v>
      </c>
      <c r="Z55" s="197">
        <f t="shared" si="17"/>
        <v>0</v>
      </c>
      <c r="AA55" s="197">
        <f t="shared" si="17"/>
        <v>0</v>
      </c>
      <c r="AB55" s="197">
        <f t="shared" si="17"/>
        <v>0</v>
      </c>
      <c r="AC55" s="197">
        <f t="shared" si="17"/>
        <v>0</v>
      </c>
      <c r="AD55" s="197">
        <f t="shared" si="17"/>
        <v>0</v>
      </c>
      <c r="AE55" s="197">
        <f t="shared" si="17"/>
        <v>0</v>
      </c>
      <c r="AF55" s="197">
        <f t="shared" si="17"/>
        <v>0</v>
      </c>
      <c r="AG55" s="197">
        <f t="shared" si="17"/>
        <v>0</v>
      </c>
      <c r="AH55" s="197">
        <f t="shared" si="17"/>
        <v>0</v>
      </c>
      <c r="AI55" s="197">
        <f t="shared" si="17"/>
        <v>0</v>
      </c>
      <c r="AJ55" s="197">
        <f t="shared" si="17"/>
        <v>0</v>
      </c>
      <c r="AK55" s="197">
        <f t="shared" si="17"/>
        <v>0</v>
      </c>
      <c r="AL55" s="197">
        <f t="shared" si="17"/>
        <v>0</v>
      </c>
      <c r="AM55" s="197">
        <f t="shared" si="17"/>
        <v>0</v>
      </c>
      <c r="AN55" s="197">
        <f t="shared" si="17"/>
        <v>0</v>
      </c>
      <c r="AO55" s="197">
        <f t="shared" si="17"/>
        <v>0</v>
      </c>
      <c r="AP55"/>
      <c r="AQ55"/>
    </row>
    <row r="56" spans="1:43" ht="19.5" customHeight="1" thickBot="1">
      <c r="A56" s="295"/>
      <c r="B56" s="157"/>
      <c r="C56" s="147" t="s">
        <v>32</v>
      </c>
      <c r="D56" s="162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16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/>
      <c r="AQ56"/>
    </row>
    <row r="57" spans="1:43" ht="19.5" customHeight="1">
      <c r="A57" s="294" t="str">
        <f>A94</f>
        <v>O3 Wet Swale</v>
      </c>
      <c r="B57" s="156"/>
      <c r="C57" s="146" t="s">
        <v>25</v>
      </c>
      <c r="D57" s="161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15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8">IF($S57=W$22,$Q57,0)</f>
        <v>0</v>
      </c>
      <c r="X57" s="197">
        <f t="shared" si="18"/>
        <v>0</v>
      </c>
      <c r="Y57" s="197">
        <f t="shared" si="18"/>
        <v>0</v>
      </c>
      <c r="Z57" s="197">
        <f t="shared" si="18"/>
        <v>0</v>
      </c>
      <c r="AA57" s="197">
        <f t="shared" si="18"/>
        <v>0</v>
      </c>
      <c r="AB57" s="197">
        <f t="shared" si="18"/>
        <v>0</v>
      </c>
      <c r="AC57" s="197">
        <f t="shared" si="18"/>
        <v>0</v>
      </c>
      <c r="AD57" s="197">
        <f t="shared" si="18"/>
        <v>0</v>
      </c>
      <c r="AE57" s="197">
        <f t="shared" si="18"/>
        <v>0</v>
      </c>
      <c r="AF57" s="197">
        <f t="shared" si="18"/>
        <v>0</v>
      </c>
      <c r="AG57" s="197">
        <f t="shared" si="18"/>
        <v>0</v>
      </c>
      <c r="AH57" s="197">
        <f t="shared" si="18"/>
        <v>0</v>
      </c>
      <c r="AI57" s="197">
        <f t="shared" si="18"/>
        <v>0</v>
      </c>
      <c r="AJ57" s="197">
        <f t="shared" si="18"/>
        <v>0</v>
      </c>
      <c r="AK57" s="197">
        <f t="shared" si="18"/>
        <v>0</v>
      </c>
      <c r="AL57" s="197">
        <f t="shared" si="18"/>
        <v>0</v>
      </c>
      <c r="AM57" s="197">
        <f t="shared" si="18"/>
        <v>0</v>
      </c>
      <c r="AN57" s="197">
        <f t="shared" si="18"/>
        <v>0</v>
      </c>
      <c r="AO57" s="197">
        <f t="shared" si="18"/>
        <v>0</v>
      </c>
      <c r="AP57"/>
      <c r="AQ57"/>
    </row>
    <row r="58" spans="1:43" ht="19.5" customHeight="1" thickBot="1">
      <c r="A58" s="295"/>
      <c r="B58" s="157"/>
      <c r="C58" s="147" t="s">
        <v>32</v>
      </c>
      <c r="D58" s="162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16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/>
      <c r="AQ58"/>
    </row>
    <row r="59" spans="1:43" ht="19.5" customHeight="1">
      <c r="A59" s="294" t="str">
        <f>A95</f>
        <v>PP1 Proprietary Practice</v>
      </c>
      <c r="B59" s="156"/>
      <c r="C59" s="146" t="s">
        <v>25</v>
      </c>
      <c r="D59" s="161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15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19">IF($S59=W$22,$Q59,0)</f>
        <v>0</v>
      </c>
      <c r="X59" s="197">
        <f t="shared" si="19"/>
        <v>0</v>
      </c>
      <c r="Y59" s="197">
        <f t="shared" si="19"/>
        <v>0</v>
      </c>
      <c r="Z59" s="197">
        <f t="shared" si="19"/>
        <v>0</v>
      </c>
      <c r="AA59" s="197">
        <f t="shared" si="19"/>
        <v>0</v>
      </c>
      <c r="AB59" s="197">
        <f t="shared" si="19"/>
        <v>0</v>
      </c>
      <c r="AC59" s="197">
        <f t="shared" si="19"/>
        <v>0</v>
      </c>
      <c r="AD59" s="197">
        <f t="shared" si="19"/>
        <v>0</v>
      </c>
      <c r="AE59" s="197">
        <f t="shared" si="19"/>
        <v>0</v>
      </c>
      <c r="AF59" s="197">
        <f t="shared" si="19"/>
        <v>0</v>
      </c>
      <c r="AG59" s="197">
        <f t="shared" si="19"/>
        <v>0</v>
      </c>
      <c r="AH59" s="197">
        <f t="shared" si="19"/>
        <v>0</v>
      </c>
      <c r="AI59" s="197">
        <f t="shared" si="19"/>
        <v>0</v>
      </c>
      <c r="AJ59" s="197">
        <f t="shared" si="19"/>
        <v>0</v>
      </c>
      <c r="AK59" s="197">
        <f t="shared" si="19"/>
        <v>0</v>
      </c>
      <c r="AL59" s="197">
        <f t="shared" si="19"/>
        <v>0</v>
      </c>
      <c r="AM59" s="197">
        <f t="shared" si="19"/>
        <v>0</v>
      </c>
      <c r="AN59" s="197">
        <f t="shared" si="19"/>
        <v>0</v>
      </c>
      <c r="AO59" s="197">
        <f t="shared" si="19"/>
        <v>0</v>
      </c>
      <c r="AP59"/>
      <c r="AQ59"/>
    </row>
    <row r="60" spans="1:43" ht="19.5" customHeight="1" thickBot="1">
      <c r="A60" s="295"/>
      <c r="B60" s="157"/>
      <c r="C60" s="147" t="s">
        <v>32</v>
      </c>
      <c r="D60" s="162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16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/>
      <c r="AQ60"/>
    </row>
    <row r="61" spans="1:43" customFormat="1" ht="19.5" customHeight="1">
      <c r="A61" s="294" t="str">
        <f>A96</f>
        <v>TP1 Tree Preservation</v>
      </c>
      <c r="B61" s="313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11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0">IF($S61=W$22,$Q61,0)</f>
        <v>0</v>
      </c>
      <c r="X61" s="197">
        <f t="shared" si="20"/>
        <v>0</v>
      </c>
      <c r="Y61" s="197">
        <f t="shared" si="20"/>
        <v>0</v>
      </c>
      <c r="Z61" s="197">
        <f t="shared" si="20"/>
        <v>0</v>
      </c>
      <c r="AA61" s="197">
        <f t="shared" si="20"/>
        <v>0</v>
      </c>
      <c r="AB61" s="197">
        <f t="shared" si="20"/>
        <v>0</v>
      </c>
      <c r="AC61" s="197">
        <f t="shared" si="20"/>
        <v>0</v>
      </c>
      <c r="AD61" s="197">
        <f t="shared" si="20"/>
        <v>0</v>
      </c>
      <c r="AE61" s="197">
        <f t="shared" si="20"/>
        <v>0</v>
      </c>
      <c r="AF61" s="197">
        <f t="shared" si="20"/>
        <v>0</v>
      </c>
      <c r="AG61" s="197">
        <f t="shared" si="20"/>
        <v>0</v>
      </c>
      <c r="AH61" s="197">
        <f t="shared" si="20"/>
        <v>0</v>
      </c>
      <c r="AI61" s="197">
        <f t="shared" si="20"/>
        <v>0</v>
      </c>
      <c r="AJ61" s="197">
        <f t="shared" si="20"/>
        <v>0</v>
      </c>
      <c r="AK61" s="197">
        <f t="shared" si="20"/>
        <v>0</v>
      </c>
      <c r="AL61" s="197">
        <f t="shared" si="20"/>
        <v>0</v>
      </c>
      <c r="AM61" s="197">
        <f t="shared" si="20"/>
        <v>0</v>
      </c>
      <c r="AN61" s="197">
        <f t="shared" si="20"/>
        <v>0</v>
      </c>
      <c r="AO61" s="197">
        <f t="shared" si="20"/>
        <v>0</v>
      </c>
    </row>
    <row r="62" spans="1:43" customFormat="1" ht="19.5" customHeight="1" thickBot="1">
      <c r="A62" s="295"/>
      <c r="B62" s="314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12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</row>
    <row r="63" spans="1:43" customFormat="1" ht="19.5" customHeight="1">
      <c r="A63" s="294" t="str">
        <f>A97</f>
        <v>TP2 Tree Planting</v>
      </c>
      <c r="B63" s="313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11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1">IF($S63=W$22,$Q63,0)</f>
        <v>0</v>
      </c>
      <c r="X63" s="197">
        <f t="shared" si="21"/>
        <v>0</v>
      </c>
      <c r="Y63" s="197">
        <f t="shared" si="21"/>
        <v>0</v>
      </c>
      <c r="Z63" s="197">
        <f t="shared" si="21"/>
        <v>0</v>
      </c>
      <c r="AA63" s="197">
        <f t="shared" si="21"/>
        <v>0</v>
      </c>
      <c r="AB63" s="197">
        <f t="shared" si="21"/>
        <v>0</v>
      </c>
      <c r="AC63" s="197">
        <f t="shared" si="21"/>
        <v>0</v>
      </c>
      <c r="AD63" s="197">
        <f t="shared" si="21"/>
        <v>0</v>
      </c>
      <c r="AE63" s="197">
        <f t="shared" si="21"/>
        <v>0</v>
      </c>
      <c r="AF63" s="197">
        <f t="shared" si="21"/>
        <v>0</v>
      </c>
      <c r="AG63" s="197">
        <f t="shared" si="21"/>
        <v>0</v>
      </c>
      <c r="AH63" s="197">
        <f t="shared" si="21"/>
        <v>0</v>
      </c>
      <c r="AI63" s="197">
        <f t="shared" si="21"/>
        <v>0</v>
      </c>
      <c r="AJ63" s="197">
        <f t="shared" si="21"/>
        <v>0</v>
      </c>
      <c r="AK63" s="197">
        <f t="shared" si="21"/>
        <v>0</v>
      </c>
      <c r="AL63" s="197">
        <f t="shared" si="21"/>
        <v>0</v>
      </c>
      <c r="AM63" s="197">
        <f t="shared" si="21"/>
        <v>0</v>
      </c>
      <c r="AN63" s="197">
        <f t="shared" si="21"/>
        <v>0</v>
      </c>
      <c r="AO63" s="197">
        <f t="shared" si="21"/>
        <v>0</v>
      </c>
    </row>
    <row r="64" spans="1:43" customFormat="1" ht="19.5" customHeight="1" thickBot="1">
      <c r="A64" s="295"/>
      <c r="B64" s="314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12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</row>
    <row r="65" spans="1:43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3" s="7" customFormat="1">
      <c r="A66" s="194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08" t="s">
        <v>135</v>
      </c>
      <c r="N66" s="309"/>
      <c r="O66" s="310"/>
      <c r="P66" s="103">
        <f>SUM(P23:P64)</f>
        <v>0</v>
      </c>
      <c r="Q66" s="125"/>
      <c r="R66" s="247"/>
      <c r="S66" s="178" t="s">
        <v>99</v>
      </c>
      <c r="T66" s="249">
        <f>SUM(R33:R60)</f>
        <v>0</v>
      </c>
      <c r="U66" s="248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/>
      <c r="AQ66"/>
    </row>
    <row r="67" spans="1:43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S67"/>
      <c r="T67"/>
      <c r="U67"/>
      <c r="V67" s="30" t="s">
        <v>3</v>
      </c>
      <c r="W67" s="30">
        <f t="shared" ref="W67:AM67" si="22">SUM(W22:W66)</f>
        <v>0</v>
      </c>
      <c r="X67" s="30">
        <f t="shared" si="22"/>
        <v>0</v>
      </c>
      <c r="Y67" s="30">
        <f t="shared" si="22"/>
        <v>0</v>
      </c>
      <c r="Z67" s="30">
        <f t="shared" si="22"/>
        <v>0</v>
      </c>
      <c r="AA67" s="30">
        <f t="shared" si="22"/>
        <v>0</v>
      </c>
      <c r="AB67" s="30">
        <f t="shared" si="22"/>
        <v>0</v>
      </c>
      <c r="AC67" s="30">
        <f t="shared" si="22"/>
        <v>0</v>
      </c>
      <c r="AD67" s="30">
        <f t="shared" si="22"/>
        <v>0</v>
      </c>
      <c r="AE67" s="30">
        <f t="shared" si="22"/>
        <v>0</v>
      </c>
      <c r="AF67" s="30">
        <f t="shared" si="22"/>
        <v>0</v>
      </c>
      <c r="AG67" s="30">
        <f t="shared" si="22"/>
        <v>0</v>
      </c>
      <c r="AH67" s="30">
        <f t="shared" si="22"/>
        <v>0</v>
      </c>
      <c r="AI67" s="30">
        <f t="shared" si="22"/>
        <v>0</v>
      </c>
      <c r="AJ67" s="30">
        <f t="shared" si="22"/>
        <v>0</v>
      </c>
      <c r="AK67" s="30">
        <f t="shared" si="22"/>
        <v>0</v>
      </c>
      <c r="AL67" s="30">
        <f t="shared" si="22"/>
        <v>0</v>
      </c>
      <c r="AM67" s="30">
        <f t="shared" si="22"/>
        <v>0</v>
      </c>
      <c r="AN67" s="30">
        <f>SUM(AN22:AN66)</f>
        <v>0</v>
      </c>
      <c r="AO67" s="30">
        <f>SUM(AO22:AO66)</f>
        <v>0</v>
      </c>
      <c r="AP67"/>
      <c r="AQ67"/>
    </row>
    <row r="68" spans="1:43" ht="66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56">
        <f>IF(G12-P66&gt;0,G12-P66,0)</f>
        <v>0</v>
      </c>
      <c r="Q68" s="253"/>
      <c r="R68" s="254"/>
      <c r="S68" s="255" t="s">
        <v>169</v>
      </c>
      <c r="T68" s="256">
        <f>IF(P73="Yes",IF(G12*0.5-T66-P66&gt;0,G12*0.5-T66-P66,0),0)</f>
        <v>0</v>
      </c>
      <c r="U68" s="254"/>
      <c r="W68" s="4"/>
      <c r="X68" s="4"/>
      <c r="Y68" s="4"/>
      <c r="Z68" s="4"/>
      <c r="AA68" s="4"/>
      <c r="AD68" s="2"/>
      <c r="AE68" s="2"/>
      <c r="AN68" s="28"/>
      <c r="AO68" s="28"/>
      <c r="AP68"/>
      <c r="AQ68"/>
    </row>
    <row r="69" spans="1:43" ht="66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56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SRCs.","Offsite Retention may be needed."), IF(P69=0,"Congratulations!! You have exceeded the required SWRv by "&amp;ROUND((P66-G12)*7.48,0)&amp;" gallons which contributes to meeting WQTv requirements.","Follow DDOE MEP Procedure."))</f>
        <v>Congratulations!! You have exceeded the required SWRv by 0 gallons which may be able to be used to generate SRCs.</v>
      </c>
      <c r="R69" s="369"/>
      <c r="S69" s="255" t="s">
        <v>170</v>
      </c>
      <c r="T69" s="256">
        <f>T68*7.48</f>
        <v>0</v>
      </c>
      <c r="U69" s="256" t="str">
        <f>IF(P75="Yes",IF(T68=0,"You have met the required treatment volume.",""),"Follow DDOE MEP Procedure.")</f>
        <v>You have met the required treatment volume.</v>
      </c>
      <c r="W69" s="4"/>
      <c r="X69" s="4"/>
      <c r="Y69" s="4"/>
      <c r="Z69" s="4"/>
      <c r="AA69" s="4"/>
      <c r="AD69" s="2"/>
      <c r="AE69" s="2"/>
      <c r="AN69" s="28"/>
      <c r="AO69" s="28"/>
      <c r="AP69"/>
      <c r="AQ69"/>
    </row>
    <row r="70" spans="1:43" ht="12.75" customHeight="1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W70" s="4"/>
      <c r="X70" s="4"/>
      <c r="Y70" s="4"/>
      <c r="Z70" s="4"/>
      <c r="AA70" s="4"/>
      <c r="AD70" s="2"/>
      <c r="AE70" s="2"/>
      <c r="AN70" s="28"/>
      <c r="AO70" s="28"/>
      <c r="AP70"/>
      <c r="AQ70"/>
    </row>
    <row r="71" spans="1:43" ht="63.75" customHeight="1">
      <c r="B71" s="158"/>
      <c r="C71" s="45"/>
      <c r="D71" s="158"/>
      <c r="E71" s="45"/>
      <c r="F71" s="45"/>
      <c r="G71" s="45"/>
      <c r="H71" s="107"/>
      <c r="I71" s="76"/>
      <c r="J71" s="2"/>
      <c r="K71" s="2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56" t="str">
        <f>IF('Site Data'!E13="Yes",IF(G18-T66-IF(P66&gt;G12,P66-G12,0)&gt;0,G18-T66-IF(P66&gt;G12,P66-G12,0),0),"N/A")</f>
        <v>N/A</v>
      </c>
      <c r="U71" s="256" t="str">
        <f>IF(T71=0,"You have met the required treatment volume.","")</f>
        <v/>
      </c>
      <c r="W71" s="4"/>
      <c r="X71" s="4"/>
      <c r="Y71" s="4"/>
      <c r="Z71" s="4"/>
      <c r="AA71" s="4"/>
      <c r="AD71" s="2"/>
      <c r="AE71" s="2"/>
      <c r="AN71" s="28"/>
      <c r="AO71" s="28"/>
      <c r="AP71"/>
      <c r="AQ71"/>
    </row>
    <row r="72" spans="1:43" ht="51" customHeight="1">
      <c r="C72" s="45"/>
      <c r="D72" s="158"/>
      <c r="E72" s="45"/>
      <c r="F72" s="45"/>
      <c r="G72" s="45"/>
      <c r="H72" s="123"/>
      <c r="I72" s="76"/>
      <c r="J72" s="2"/>
      <c r="K72" s="2"/>
      <c r="L72" s="108"/>
      <c r="M72" s="366" t="s">
        <v>158</v>
      </c>
      <c r="N72" s="367"/>
      <c r="O72" s="368"/>
      <c r="P72" s="262" t="str">
        <f>IF('Site Data'!E14="Yes",IF(AND(F66&gt;=B9,COUNTIF(T23:T60,"No")=0),"Yes","No"),"N/A")</f>
        <v>N/A</v>
      </c>
      <c r="Q72" s="89"/>
      <c r="R72" s="89"/>
      <c r="S72" s="255" t="s">
        <v>172</v>
      </c>
      <c r="T72" s="256" t="str">
        <f>IF(T71="N/A","N/A",T71*7.48)</f>
        <v>N/A</v>
      </c>
      <c r="U72" s="256" t="str">
        <f>IF(T72="N/A","",IF(T72&gt;0,"Follow DDOE MEP Procedure.",""))</f>
        <v/>
      </c>
      <c r="W72" s="4"/>
      <c r="X72" s="4"/>
      <c r="Y72" s="4"/>
      <c r="Z72" s="4"/>
      <c r="AA72" s="4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/>
      <c r="AQ72"/>
    </row>
    <row r="73" spans="1:43" ht="12.75" customHeight="1">
      <c r="C73" s="45"/>
      <c r="D73" s="158"/>
      <c r="E73" s="45"/>
      <c r="F73" s="45"/>
      <c r="G73" s="45"/>
      <c r="H73" s="107"/>
      <c r="I73" s="76"/>
      <c r="J73" s="3"/>
      <c r="K73" s="2"/>
      <c r="L73" s="89"/>
      <c r="M73" s="290" t="s">
        <v>98</v>
      </c>
      <c r="N73" s="290"/>
      <c r="O73" s="290"/>
      <c r="P73" s="256" t="str">
        <f>IF('Site Data'!E14="No","No",IF(P71="Yes","No","Yes"))</f>
        <v>No</v>
      </c>
      <c r="Q73" s="89"/>
      <c r="R73" s="89"/>
      <c r="S73" s="3"/>
      <c r="T73" s="76"/>
      <c r="U73" s="3"/>
      <c r="W73" s="4"/>
      <c r="X73" s="4"/>
      <c r="Y73" s="4"/>
      <c r="Z73" s="4"/>
      <c r="AA73" s="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/>
      <c r="AQ73"/>
    </row>
    <row r="74" spans="1:43" ht="12.75" customHeight="1">
      <c r="C74" s="45"/>
      <c r="D74" s="158"/>
      <c r="E74" s="45"/>
      <c r="F74" s="45"/>
      <c r="G74" s="45"/>
      <c r="H74" s="107"/>
      <c r="I74" s="76"/>
      <c r="J74" s="3"/>
      <c r="K74" s="2"/>
      <c r="L74" s="89"/>
      <c r="M74" s="257"/>
      <c r="N74" s="258"/>
      <c r="O74" s="257"/>
      <c r="P74" s="257"/>
      <c r="Q74" s="89"/>
      <c r="R74" s="89"/>
      <c r="S74" s="3"/>
      <c r="T74" s="76"/>
      <c r="U74" s="3"/>
      <c r="W74" s="4"/>
      <c r="X74" s="4"/>
      <c r="Y74" s="4"/>
      <c r="Z74" s="4"/>
      <c r="AA74" s="4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/>
      <c r="AQ74"/>
    </row>
    <row r="75" spans="1:43" ht="12.75" customHeight="1">
      <c r="C75" s="45"/>
      <c r="D75" s="158"/>
      <c r="E75" s="45"/>
      <c r="F75" s="45"/>
      <c r="G75" s="45"/>
      <c r="H75" s="107"/>
      <c r="I75" s="76"/>
      <c r="J75" s="3"/>
      <c r="K75" s="2"/>
      <c r="L75" s="89"/>
      <c r="M75" s="290" t="s">
        <v>105</v>
      </c>
      <c r="N75" s="290"/>
      <c r="O75" s="290"/>
      <c r="P75" s="262" t="str">
        <f>IF(P72="No","No",IF(P73="No","Yes",IF(T68=0,"Yes","No")))</f>
        <v>Yes</v>
      </c>
      <c r="Q75" s="89"/>
      <c r="R75" s="89"/>
      <c r="S75" s="3"/>
      <c r="T75" s="76"/>
      <c r="U75" s="3"/>
      <c r="W75" s="4"/>
      <c r="X75" s="4"/>
      <c r="Y75" s="4"/>
      <c r="Z75" s="4"/>
      <c r="AA75" s="4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/>
      <c r="AQ75"/>
    </row>
    <row r="76" spans="1:43" ht="12.75" hidden="1" customHeight="1">
      <c r="A76" s="190" t="s">
        <v>17</v>
      </c>
      <c r="B76" s="158" t="s">
        <v>189</v>
      </c>
      <c r="C76" s="45"/>
      <c r="D76" s="158"/>
      <c r="E76" s="45"/>
      <c r="F76" s="45"/>
      <c r="G76" s="45"/>
      <c r="H76" s="107"/>
      <c r="I76" s="76"/>
      <c r="J76" s="3"/>
      <c r="K76" s="2"/>
      <c r="L76" s="89"/>
      <c r="N76" s="3"/>
      <c r="O76" s="89"/>
      <c r="P76" s="127"/>
      <c r="Q76" s="89"/>
      <c r="R76" s="89"/>
      <c r="S76" s="3"/>
      <c r="T76" s="76"/>
      <c r="U76" s="3"/>
      <c r="W76" s="4"/>
      <c r="X76" s="4"/>
      <c r="Y76" s="4"/>
      <c r="Z76" s="4"/>
      <c r="AA76" s="4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/>
      <c r="AQ76"/>
    </row>
    <row r="77" spans="1:43" ht="12.75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45"/>
      <c r="G77" s="45"/>
      <c r="H77" s="107"/>
      <c r="I77" s="76"/>
      <c r="J77" s="3"/>
      <c r="K77" s="2"/>
      <c r="L77" s="89"/>
      <c r="N77" s="3"/>
      <c r="O77" s="89"/>
      <c r="P77" s="127"/>
      <c r="Q77" s="89"/>
      <c r="R77" s="89"/>
      <c r="S77" s="3"/>
      <c r="T77" s="76"/>
      <c r="U77" s="3"/>
      <c r="W77" s="4"/>
      <c r="X77" s="4"/>
      <c r="Y77" s="4"/>
      <c r="Z77" s="4"/>
      <c r="AA77" s="4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/>
      <c r="AQ77"/>
    </row>
    <row r="78" spans="1:43" ht="12.75" hidden="1" customHeight="1">
      <c r="A78" s="175" t="s">
        <v>49</v>
      </c>
      <c r="B78" s="158">
        <f>P25+IF(R25="N/A",0,R25)</f>
        <v>0</v>
      </c>
      <c r="C78" s="45"/>
      <c r="D78" s="158"/>
      <c r="E78" s="45"/>
      <c r="F78" s="45"/>
      <c r="G78" s="45"/>
      <c r="H78" s="107"/>
      <c r="I78" s="76"/>
      <c r="J78" s="3"/>
      <c r="K78" s="2"/>
      <c r="L78" s="89"/>
      <c r="N78" s="3"/>
      <c r="O78" s="89"/>
      <c r="P78" s="127"/>
      <c r="Q78" s="89"/>
      <c r="R78" s="89"/>
      <c r="S78" s="3"/>
      <c r="T78" s="76"/>
      <c r="U78" s="3"/>
      <c r="W78" s="4"/>
      <c r="X78" s="4"/>
      <c r="Y78" s="4"/>
      <c r="Z78" s="4"/>
      <c r="AA78" s="4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/>
      <c r="AQ78"/>
    </row>
    <row r="79" spans="1:43" ht="12.75" hidden="1" customHeight="1">
      <c r="A79" s="175" t="s">
        <v>39</v>
      </c>
      <c r="B79" s="158">
        <f>P27+IF(R27="N/A",0,R27)</f>
        <v>0</v>
      </c>
      <c r="C79" s="45"/>
      <c r="D79" s="158"/>
      <c r="E79" s="45"/>
      <c r="F79" s="45"/>
      <c r="G79" s="45"/>
      <c r="H79" s="107"/>
      <c r="I79" s="76"/>
      <c r="J79" s="3"/>
      <c r="K79" s="2"/>
      <c r="L79" s="89"/>
      <c r="N79" s="3"/>
      <c r="O79" s="89"/>
      <c r="P79" s="127"/>
      <c r="Q79" s="89"/>
      <c r="R79" s="89"/>
      <c r="S79" s="3"/>
      <c r="T79" s="76"/>
      <c r="U79" s="3"/>
      <c r="W79" s="4"/>
      <c r="X79" s="4"/>
      <c r="Y79" s="4"/>
      <c r="Z79" s="4"/>
      <c r="AA79" s="4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/>
      <c r="AQ79"/>
    </row>
    <row r="80" spans="1:43" ht="12.75" hidden="1" customHeight="1">
      <c r="A80" s="175" t="s">
        <v>40</v>
      </c>
      <c r="B80" s="158">
        <f>P29+IF(R29="N/A",0,R29)</f>
        <v>0</v>
      </c>
      <c r="C80" s="45"/>
      <c r="D80" s="158"/>
      <c r="E80" s="45"/>
      <c r="F80" s="45"/>
      <c r="G80" s="45"/>
      <c r="H80" s="107"/>
      <c r="I80" s="76"/>
      <c r="J80" s="3"/>
      <c r="K80" s="2"/>
      <c r="L80" s="89"/>
      <c r="N80" s="3"/>
      <c r="O80" s="89"/>
      <c r="P80" s="127"/>
      <c r="Q80" s="89"/>
      <c r="R80" s="89"/>
      <c r="S80" s="3"/>
      <c r="T80" s="76"/>
      <c r="U80" s="3"/>
      <c r="W80" s="4"/>
      <c r="X80" s="4"/>
      <c r="Y80" s="4"/>
      <c r="Z80" s="4"/>
      <c r="AA80" s="4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/>
      <c r="AQ80"/>
    </row>
    <row r="81" spans="1:43" ht="12.75" hidden="1" customHeight="1">
      <c r="A81" s="175" t="s">
        <v>41</v>
      </c>
      <c r="B81" s="158">
        <f>P31+IF(R31="N/A",0,R31)</f>
        <v>0</v>
      </c>
      <c r="C81" s="45"/>
      <c r="D81" s="158"/>
      <c r="E81" s="45"/>
      <c r="F81" s="45"/>
      <c r="G81" s="45"/>
      <c r="H81" s="107"/>
      <c r="I81" s="76"/>
      <c r="J81" s="3"/>
      <c r="K81" s="2"/>
      <c r="L81" s="89"/>
      <c r="N81" s="3"/>
      <c r="O81" s="89"/>
      <c r="P81" s="127"/>
      <c r="Q81" s="89"/>
      <c r="R81" s="89"/>
      <c r="S81" s="3"/>
      <c r="T81" s="76"/>
      <c r="U81" s="3"/>
      <c r="W81" s="4"/>
      <c r="X81" s="4"/>
      <c r="Y81" s="4"/>
      <c r="Z81" s="4"/>
      <c r="AA81" s="4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/>
      <c r="AQ81"/>
    </row>
    <row r="82" spans="1:43" ht="12.75" hidden="1" customHeight="1">
      <c r="A82" s="237" t="s">
        <v>129</v>
      </c>
      <c r="B82" s="158">
        <f>P33+IF(R33="N/A",0,R33)</f>
        <v>0</v>
      </c>
      <c r="C82" s="45"/>
      <c r="D82" s="158"/>
      <c r="E82" s="45"/>
      <c r="F82" s="45"/>
      <c r="G82" s="45"/>
      <c r="H82" s="107"/>
      <c r="I82" s="76"/>
      <c r="J82" s="3"/>
      <c r="K82" s="2"/>
      <c r="L82" s="89"/>
      <c r="N82" s="3"/>
      <c r="O82" s="89"/>
      <c r="P82" s="127"/>
      <c r="Q82" s="89"/>
      <c r="R82" s="89"/>
      <c r="S82" s="3"/>
      <c r="T82" s="76"/>
      <c r="U82" s="3"/>
      <c r="W82" s="4"/>
      <c r="X82" s="4"/>
      <c r="Y82" s="4"/>
      <c r="Z82" s="4"/>
      <c r="AA82" s="4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/>
      <c r="AQ82"/>
    </row>
    <row r="83" spans="1:43" ht="12.75" hidden="1" customHeight="1">
      <c r="A83" s="236" t="s">
        <v>128</v>
      </c>
      <c r="B83" s="158">
        <f>P35+IF(R35="N/A",0,R35)</f>
        <v>0</v>
      </c>
      <c r="C83" s="45"/>
      <c r="D83" s="158"/>
      <c r="E83" s="45"/>
      <c r="F83" s="45"/>
      <c r="G83" s="45"/>
      <c r="H83" s="107"/>
      <c r="I83" s="76"/>
      <c r="J83" s="3"/>
      <c r="K83" s="2"/>
      <c r="L83" s="89"/>
      <c r="N83" s="3"/>
      <c r="O83" s="89"/>
      <c r="P83" s="127"/>
      <c r="Q83" s="89"/>
      <c r="R83" s="89"/>
      <c r="S83" s="3"/>
      <c r="T83" s="76"/>
      <c r="U83" s="3"/>
      <c r="W83" s="4"/>
      <c r="X83" s="4"/>
      <c r="Y83" s="4"/>
      <c r="Z83" s="4"/>
      <c r="AA83" s="4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/>
      <c r="AQ83"/>
    </row>
    <row r="84" spans="1:43" ht="12.75" hidden="1" customHeight="1">
      <c r="A84" s="75" t="s">
        <v>55</v>
      </c>
      <c r="B84" s="158">
        <f>P37+IF(R37="N/A",0,R37)</f>
        <v>0</v>
      </c>
      <c r="C84" s="45"/>
      <c r="D84" s="158"/>
      <c r="E84" s="45"/>
      <c r="F84" s="45"/>
      <c r="G84" s="45"/>
      <c r="H84" s="107"/>
      <c r="I84" s="76"/>
      <c r="J84" s="3"/>
      <c r="K84" s="2"/>
      <c r="L84" s="89"/>
      <c r="N84" s="3"/>
      <c r="O84" s="89"/>
      <c r="P84" s="127"/>
      <c r="Q84" s="89"/>
      <c r="R84" s="89"/>
      <c r="S84" s="3"/>
      <c r="T84" s="76"/>
      <c r="U84" s="3"/>
      <c r="W84" s="4"/>
      <c r="X84" s="4"/>
      <c r="Y84" s="4"/>
      <c r="Z84" s="4"/>
      <c r="AA84" s="4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/>
      <c r="AQ84"/>
    </row>
    <row r="85" spans="1:43" ht="12.75" hidden="1" customHeight="1">
      <c r="A85" s="75" t="s">
        <v>56</v>
      </c>
      <c r="B85" s="158">
        <f>P39+IF(R39="N/A",0,R39)</f>
        <v>0</v>
      </c>
      <c r="C85" s="28"/>
      <c r="D85" s="26"/>
      <c r="E85" s="28"/>
      <c r="F85" s="28"/>
      <c r="G85" s="28"/>
      <c r="H85" s="109"/>
      <c r="I85" s="76"/>
      <c r="J85" s="191"/>
      <c r="K85" s="2"/>
      <c r="L85" s="89"/>
      <c r="N85" s="3"/>
      <c r="O85" s="89"/>
      <c r="P85" s="127"/>
      <c r="Q85" s="112"/>
      <c r="R85" s="112"/>
      <c r="S85" s="3"/>
      <c r="T85" s="76"/>
      <c r="U85" s="4"/>
      <c r="V85" s="4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/>
      <c r="AQ85"/>
    </row>
    <row r="86" spans="1:43" ht="12.75" hidden="1" customHeight="1">
      <c r="A86" s="75" t="s">
        <v>126</v>
      </c>
      <c r="B86" s="158">
        <f>P41+IF(R41="N/A",0,R41)</f>
        <v>0</v>
      </c>
      <c r="C86" s="28"/>
      <c r="D86" s="26"/>
      <c r="E86" s="28"/>
      <c r="F86" s="28"/>
      <c r="G86" s="28"/>
      <c r="H86" s="109"/>
      <c r="I86" s="76"/>
      <c r="J86" s="36"/>
      <c r="K86" s="2"/>
      <c r="L86" s="89"/>
      <c r="N86" s="3"/>
      <c r="O86" s="89"/>
      <c r="P86" s="127"/>
      <c r="Q86" s="112"/>
      <c r="R86" s="112"/>
      <c r="S86" s="3"/>
      <c r="T86" s="76"/>
      <c r="U86" s="4"/>
      <c r="V86" s="4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/>
      <c r="AQ86"/>
    </row>
    <row r="87" spans="1:43" ht="12.75" hidden="1" customHeight="1">
      <c r="A87" s="75" t="s">
        <v>43</v>
      </c>
      <c r="B87" s="158">
        <f>P43+IF(R43="N/A",0,R43)</f>
        <v>0</v>
      </c>
      <c r="C87" s="28"/>
      <c r="D87" s="26"/>
      <c r="E87" s="28"/>
      <c r="F87" s="28"/>
      <c r="G87" s="28"/>
      <c r="H87" s="109"/>
      <c r="I87" s="76"/>
      <c r="J87" s="36"/>
      <c r="K87" s="2"/>
      <c r="L87" s="89"/>
      <c r="N87" s="3"/>
      <c r="O87" s="89"/>
      <c r="P87" s="127"/>
      <c r="Q87" s="112"/>
      <c r="R87" s="112"/>
      <c r="S87" s="3"/>
      <c r="T87" s="76"/>
      <c r="U87" s="4"/>
      <c r="V87" s="4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/>
      <c r="AQ87"/>
    </row>
    <row r="88" spans="1:43" ht="12.75" hidden="1" customHeight="1">
      <c r="A88" s="75" t="s">
        <v>68</v>
      </c>
      <c r="B88" s="158">
        <f>P45+IF(R45="N/A",0,R45)</f>
        <v>0</v>
      </c>
      <c r="C88" s="28"/>
      <c r="D88" s="26"/>
      <c r="E88" s="28"/>
      <c r="F88" s="28"/>
      <c r="G88" s="28"/>
      <c r="H88" s="109"/>
      <c r="I88" s="76"/>
      <c r="J88" s="28"/>
      <c r="K88" s="2"/>
      <c r="L88" s="89"/>
      <c r="N88" s="3"/>
      <c r="O88" s="89"/>
      <c r="P88" s="127"/>
      <c r="Q88" s="112"/>
      <c r="R88" s="112"/>
      <c r="S88" s="3"/>
      <c r="T88" s="76"/>
      <c r="U88" s="4"/>
      <c r="V88" s="4"/>
      <c r="W88" s="64"/>
      <c r="X88" s="64"/>
      <c r="Y88" s="64"/>
      <c r="Z88" s="64"/>
      <c r="AA88" s="64"/>
      <c r="AD88" s="2"/>
      <c r="AE88" s="2"/>
      <c r="AN88" s="28"/>
      <c r="AO88" s="28"/>
      <c r="AP88"/>
      <c r="AQ88"/>
    </row>
    <row r="89" spans="1:43" ht="12.75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28"/>
      <c r="G89" s="28"/>
      <c r="H89" s="109"/>
      <c r="I89" s="76"/>
      <c r="J89" s="28"/>
      <c r="K89" s="2"/>
      <c r="L89" s="89"/>
      <c r="N89" s="3"/>
      <c r="O89" s="89"/>
      <c r="P89" s="127"/>
      <c r="Q89" s="112"/>
      <c r="R89" s="112"/>
      <c r="S89" s="3"/>
      <c r="T89" s="76"/>
      <c r="W89" s="64"/>
      <c r="X89" s="64"/>
      <c r="Y89" s="64"/>
      <c r="Z89" s="64"/>
      <c r="AA89" s="64"/>
      <c r="AD89" s="2"/>
      <c r="AE89" s="2"/>
      <c r="AN89" s="28"/>
      <c r="AO89" s="28"/>
      <c r="AP89"/>
      <c r="AQ89"/>
    </row>
    <row r="90" spans="1:43" ht="12.75" hidden="1" customHeight="1">
      <c r="A90" s="75" t="s">
        <v>67</v>
      </c>
      <c r="B90" s="158">
        <f>P49+IF(R49="N/A",0,R49)</f>
        <v>0</v>
      </c>
      <c r="C90" s="28"/>
      <c r="D90" s="26"/>
      <c r="E90" s="28"/>
      <c r="F90" s="28"/>
      <c r="G90" s="28"/>
      <c r="H90" s="109"/>
      <c r="I90" s="76"/>
      <c r="J90" s="28"/>
      <c r="K90" s="2"/>
      <c r="L90" s="89"/>
      <c r="N90" s="3"/>
      <c r="O90" s="89"/>
      <c r="P90" s="127"/>
      <c r="Q90" s="112"/>
      <c r="R90" s="112"/>
      <c r="S90" s="3"/>
      <c r="T90" s="76"/>
      <c r="W90" s="64"/>
      <c r="X90" s="64"/>
      <c r="Y90" s="64"/>
      <c r="Z90" s="64"/>
      <c r="AA90" s="64"/>
      <c r="AD90" s="2"/>
      <c r="AE90" s="2"/>
      <c r="AN90" s="28"/>
      <c r="AO90" s="28"/>
      <c r="AP90"/>
      <c r="AQ90"/>
    </row>
    <row r="91" spans="1:43" ht="12.75" hidden="1" customHeight="1">
      <c r="A91" s="75" t="s">
        <v>62</v>
      </c>
      <c r="B91" s="158">
        <f>P51+IF(R51="N/A",0,R513)</f>
        <v>0</v>
      </c>
      <c r="C91" s="28"/>
      <c r="D91" s="26"/>
      <c r="E91" s="28"/>
      <c r="F91" s="28"/>
      <c r="G91" s="28"/>
      <c r="H91" s="109"/>
      <c r="I91" s="76"/>
      <c r="J91" s="28"/>
      <c r="K91" s="2"/>
      <c r="L91" s="89"/>
      <c r="N91" s="3"/>
      <c r="O91" s="89"/>
      <c r="P91" s="127"/>
      <c r="Q91" s="112"/>
      <c r="R91" s="112"/>
      <c r="S91" s="3"/>
      <c r="T91" s="76"/>
      <c r="W91" s="64"/>
      <c r="X91" s="64"/>
      <c r="Y91" s="64"/>
      <c r="Z91" s="64"/>
      <c r="AA91" s="64"/>
      <c r="AD91" s="2"/>
      <c r="AE91" s="2"/>
      <c r="AN91" s="28"/>
      <c r="AO91" s="28"/>
      <c r="AP91"/>
      <c r="AQ91"/>
    </row>
    <row r="92" spans="1:43" ht="12.75" hidden="1" customHeight="1">
      <c r="A92" s="75" t="s">
        <v>63</v>
      </c>
      <c r="B92" s="158">
        <f>P53+IF(R53="N/A",0,R53)</f>
        <v>0</v>
      </c>
      <c r="C92" s="28"/>
      <c r="D92" s="26"/>
      <c r="E92" s="28"/>
      <c r="F92" s="28"/>
      <c r="G92" s="28"/>
      <c r="H92" s="109"/>
      <c r="I92" s="76"/>
      <c r="J92" s="28"/>
      <c r="K92" s="2"/>
      <c r="L92" s="89"/>
      <c r="N92" s="3"/>
      <c r="O92" s="89"/>
      <c r="P92" s="127"/>
      <c r="Q92" s="112"/>
      <c r="R92" s="112"/>
      <c r="S92" s="3"/>
      <c r="T92" s="76"/>
      <c r="U92" s="3"/>
      <c r="V92" s="4"/>
      <c r="AD92" s="2"/>
      <c r="AE92" s="2"/>
      <c r="AN92" s="28"/>
      <c r="AO92" s="28"/>
      <c r="AP92"/>
      <c r="AQ92"/>
    </row>
    <row r="93" spans="1:43" s="4" customFormat="1" ht="12.75" hidden="1" customHeight="1">
      <c r="A93" s="75" t="s">
        <v>44</v>
      </c>
      <c r="B93" s="158">
        <f>P55+IF(R55="N/A",0,R55)</f>
        <v>0</v>
      </c>
      <c r="C93" s="28"/>
      <c r="D93" s="26"/>
      <c r="E93" s="28"/>
      <c r="F93" s="28"/>
      <c r="G93" s="28"/>
      <c r="H93" s="109"/>
      <c r="I93" s="76"/>
      <c r="J93" s="28"/>
      <c r="K93" s="2"/>
      <c r="L93" s="89"/>
      <c r="M93" s="89"/>
      <c r="O93" s="89"/>
      <c r="P93" s="127"/>
      <c r="Q93" s="112"/>
      <c r="R93" s="112"/>
      <c r="S93" s="3"/>
      <c r="T93" s="76"/>
      <c r="U93" s="3"/>
      <c r="W93" s="2"/>
      <c r="X93" s="2"/>
      <c r="Y93" s="2"/>
      <c r="Z93" s="2"/>
      <c r="AA93" s="2"/>
      <c r="AB93" s="2"/>
      <c r="AC93" s="2"/>
      <c r="AD93" s="2"/>
      <c r="AE93" s="2"/>
      <c r="AF93" s="28"/>
      <c r="AG93" s="28"/>
      <c r="AH93" s="28"/>
      <c r="AI93" s="23"/>
      <c r="AJ93" s="23"/>
      <c r="AK93" s="23"/>
      <c r="AL93" s="23"/>
      <c r="AM93" s="23"/>
      <c r="AN93" s="23"/>
      <c r="AO93" s="23"/>
      <c r="AP93"/>
      <c r="AQ93"/>
    </row>
    <row r="94" spans="1:43" hidden="1">
      <c r="A94" s="75" t="s">
        <v>50</v>
      </c>
      <c r="B94" s="158">
        <f>P57+IF(R57="N/A",0,R57)</f>
        <v>0</v>
      </c>
      <c r="C94" s="28"/>
      <c r="D94" s="26"/>
      <c r="E94" s="28"/>
      <c r="F94" s="28"/>
      <c r="G94" s="28"/>
      <c r="H94" s="109"/>
      <c r="I94" s="76"/>
      <c r="J94" s="28"/>
      <c r="K94" s="2"/>
      <c r="L94" s="89"/>
      <c r="N94" s="3"/>
      <c r="O94" s="89"/>
      <c r="P94" s="89"/>
      <c r="Q94" s="112"/>
      <c r="R94" s="112"/>
      <c r="S94" s="3"/>
      <c r="T94" s="76"/>
      <c r="U94" s="3"/>
      <c r="V94" s="4"/>
      <c r="AD94" s="2"/>
      <c r="AE94" s="2"/>
      <c r="AN94" s="28"/>
      <c r="AO94" s="28"/>
      <c r="AP94"/>
      <c r="AQ94"/>
    </row>
    <row r="95" spans="1:43" hidden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3"/>
      <c r="O95" s="89"/>
      <c r="P95" s="127"/>
      <c r="R95" s="76"/>
      <c r="S95" s="3"/>
    </row>
    <row r="96" spans="1:43" hidden="1">
      <c r="A96" s="163" t="s">
        <v>94</v>
      </c>
      <c r="B96" s="26"/>
      <c r="C96" s="28"/>
      <c r="D96" s="26"/>
      <c r="E96" s="28"/>
      <c r="F96" s="109"/>
      <c r="G96" s="28"/>
      <c r="H96" s="28"/>
      <c r="L96" s="28"/>
      <c r="N96" s="127"/>
      <c r="O96" s="112"/>
      <c r="P96" s="112"/>
      <c r="R96" s="76"/>
      <c r="S96" s="3"/>
    </row>
    <row r="97" spans="1:41" s="28" customFormat="1" ht="12.75" hidden="1" customHeight="1">
      <c r="A97" s="163" t="s">
        <v>93</v>
      </c>
      <c r="B97" s="26"/>
      <c r="D97" s="26"/>
      <c r="F97" s="109"/>
      <c r="H97" s="191"/>
      <c r="I97" s="2"/>
      <c r="J97" s="89"/>
      <c r="K97" s="89"/>
      <c r="O97" s="112"/>
      <c r="P97" s="112"/>
      <c r="Q97" s="3"/>
      <c r="R97" s="76"/>
      <c r="S97" s="26"/>
      <c r="U97" s="23"/>
      <c r="V97" s="23"/>
      <c r="W97" s="23"/>
      <c r="X97" s="23"/>
      <c r="Y97" s="23"/>
      <c r="Z97" s="23"/>
      <c r="AA97" s="23"/>
      <c r="AB97" s="23"/>
      <c r="AC97" s="23"/>
      <c r="AN97"/>
      <c r="AO97"/>
    </row>
    <row r="98" spans="1:41" s="28" customFormat="1">
      <c r="A98" s="191"/>
      <c r="B98" s="26"/>
      <c r="D98" s="26"/>
      <c r="F98" s="109"/>
      <c r="G98" s="32"/>
      <c r="H98" s="191"/>
      <c r="I98" s="2"/>
      <c r="J98" s="112"/>
      <c r="K98" s="112"/>
      <c r="M98" s="89"/>
      <c r="N98" s="127"/>
      <c r="O98" s="112"/>
      <c r="P98" s="112"/>
      <c r="Q98" s="3"/>
      <c r="R98" s="76"/>
      <c r="S98" s="26"/>
      <c r="AN98"/>
      <c r="AO98"/>
    </row>
    <row r="99" spans="1:41" s="28" customFormat="1">
      <c r="A99" s="191"/>
      <c r="B99" s="26"/>
      <c r="D99" s="26"/>
      <c r="F99" s="110"/>
      <c r="G99" s="32"/>
      <c r="H99" s="191"/>
      <c r="J99" s="112"/>
      <c r="K99" s="112"/>
      <c r="M99" s="89"/>
      <c r="N99" s="127"/>
      <c r="O99" s="112"/>
      <c r="P99" s="112"/>
      <c r="Q99" s="3"/>
      <c r="R99" s="76"/>
      <c r="S99" s="26"/>
      <c r="AN99"/>
      <c r="AO99"/>
    </row>
    <row r="100" spans="1:41" s="28" customFormat="1">
      <c r="A100" s="53"/>
      <c r="B100" s="26"/>
      <c r="D100" s="26"/>
      <c r="F100" s="109"/>
      <c r="G100" s="32"/>
      <c r="H100" s="53"/>
      <c r="J100" s="112"/>
      <c r="K100" s="112"/>
      <c r="M100" s="89"/>
      <c r="N100" s="127"/>
      <c r="O100" s="112"/>
      <c r="P100" s="112"/>
      <c r="Q100" s="3"/>
      <c r="R100" s="76"/>
      <c r="AN100"/>
      <c r="AO100"/>
    </row>
    <row r="101" spans="1:41" s="28" customFormat="1">
      <c r="A101" s="191"/>
      <c r="B101" s="26"/>
      <c r="D101" s="26"/>
      <c r="F101" s="109"/>
      <c r="G101" s="32"/>
      <c r="H101" s="191"/>
      <c r="J101" s="112"/>
      <c r="K101" s="112"/>
      <c r="M101" s="89"/>
      <c r="N101" s="127"/>
      <c r="O101" s="112"/>
      <c r="P101" s="112"/>
      <c r="Q101" s="3"/>
      <c r="R101" s="76"/>
      <c r="T101" s="23"/>
      <c r="AN101"/>
      <c r="AO101"/>
    </row>
    <row r="102" spans="1:41" s="28" customFormat="1">
      <c r="A102" s="54"/>
      <c r="B102" s="26"/>
      <c r="D102" s="26"/>
      <c r="F102" s="110"/>
      <c r="G102" s="32"/>
      <c r="H102" s="54"/>
      <c r="J102" s="112"/>
      <c r="K102" s="112"/>
      <c r="M102" s="89"/>
      <c r="N102" s="127"/>
      <c r="O102" s="112"/>
      <c r="P102" s="112"/>
      <c r="Q102" s="3"/>
      <c r="R102" s="76"/>
      <c r="T102" s="23"/>
      <c r="AD102" s="56"/>
      <c r="AE102" s="56"/>
      <c r="AF102" s="56"/>
      <c r="AN102"/>
      <c r="AO102"/>
    </row>
    <row r="103" spans="1:41" s="28" customFormat="1" ht="12.75" customHeight="1">
      <c r="A103" s="54"/>
      <c r="B103" s="26"/>
      <c r="D103" s="26"/>
      <c r="F103" s="111"/>
      <c r="G103" s="32"/>
      <c r="H103" s="54"/>
      <c r="J103" s="112"/>
      <c r="K103" s="112"/>
      <c r="M103" s="89"/>
      <c r="N103" s="127"/>
      <c r="O103" s="112"/>
      <c r="P103" s="112"/>
      <c r="Q103" s="3"/>
      <c r="R103" s="76"/>
      <c r="T103" s="23"/>
      <c r="AN103"/>
      <c r="AO103"/>
    </row>
    <row r="104" spans="1:41" s="28" customFormat="1">
      <c r="A104" s="191"/>
      <c r="B104" s="26"/>
      <c r="D104" s="26"/>
      <c r="F104" s="111"/>
      <c r="G104" s="32"/>
      <c r="H104" s="191"/>
      <c r="J104" s="112"/>
      <c r="K104" s="112"/>
      <c r="M104" s="89"/>
      <c r="N104" s="127"/>
      <c r="O104" s="113"/>
      <c r="P104" s="113"/>
      <c r="Q104" s="3"/>
      <c r="R104" s="76"/>
      <c r="T104" s="23"/>
      <c r="AN104"/>
      <c r="AO104"/>
    </row>
    <row r="105" spans="1:41" s="28" customFormat="1">
      <c r="A105" s="191"/>
      <c r="B105" s="55"/>
      <c r="C105" s="32"/>
      <c r="D105" s="55"/>
      <c r="E105" s="32"/>
      <c r="F105" s="110"/>
      <c r="G105" s="32"/>
      <c r="H105" s="191"/>
      <c r="J105" s="112"/>
      <c r="K105" s="112"/>
      <c r="M105" s="89"/>
      <c r="N105" s="127"/>
      <c r="O105" s="113"/>
      <c r="P105" s="113"/>
      <c r="Q105" s="3"/>
      <c r="R105" s="76"/>
      <c r="T105" s="23"/>
      <c r="AN105"/>
      <c r="AO105"/>
    </row>
    <row r="106" spans="1:41" s="28" customFormat="1">
      <c r="A106" s="191"/>
      <c r="B106" s="55"/>
      <c r="C106" s="32"/>
      <c r="D106" s="55"/>
      <c r="E106" s="32"/>
      <c r="F106" s="110"/>
      <c r="G106" s="32"/>
      <c r="H106" s="191"/>
      <c r="J106" s="112"/>
      <c r="K106" s="112"/>
      <c r="M106" s="89"/>
      <c r="N106" s="127"/>
      <c r="O106" s="113"/>
      <c r="P106" s="113"/>
      <c r="Q106" s="3"/>
      <c r="R106" s="76"/>
      <c r="T106" s="23"/>
      <c r="AN106"/>
      <c r="AO106"/>
    </row>
    <row r="107" spans="1:41" s="28" customFormat="1">
      <c r="A107" s="191"/>
      <c r="B107" s="55"/>
      <c r="C107" s="32"/>
      <c r="D107" s="55"/>
      <c r="E107" s="32"/>
      <c r="F107" s="110"/>
      <c r="G107" s="32"/>
      <c r="H107" s="191"/>
      <c r="J107" s="112"/>
      <c r="K107" s="112"/>
      <c r="M107" s="89"/>
      <c r="N107" s="127"/>
      <c r="O107" s="113"/>
      <c r="P107" s="113"/>
      <c r="Q107" s="3"/>
      <c r="R107" s="76"/>
      <c r="T107" s="23"/>
      <c r="AN107"/>
      <c r="AO107"/>
    </row>
    <row r="108" spans="1:41" s="28" customFormat="1">
      <c r="A108" s="191"/>
      <c r="B108" s="55"/>
      <c r="C108" s="32"/>
      <c r="D108" s="55"/>
      <c r="E108" s="32"/>
      <c r="F108" s="110"/>
      <c r="G108" s="32"/>
      <c r="H108" s="191"/>
      <c r="J108" s="113"/>
      <c r="K108" s="113"/>
      <c r="L108" s="32"/>
      <c r="M108" s="113"/>
      <c r="N108" s="127"/>
      <c r="O108" s="113"/>
      <c r="P108" s="113"/>
      <c r="Q108" s="55"/>
      <c r="R108" s="77"/>
      <c r="T108" s="23"/>
      <c r="AN108"/>
      <c r="AO108"/>
    </row>
    <row r="109" spans="1:41" ht="12.75" customHeight="1">
      <c r="A109" s="191"/>
      <c r="B109" s="55"/>
      <c r="C109" s="32"/>
      <c r="D109" s="55"/>
      <c r="E109" s="32"/>
      <c r="F109" s="110"/>
      <c r="G109" s="32"/>
      <c r="H109" s="191"/>
      <c r="I109" s="32"/>
      <c r="J109" s="113"/>
      <c r="K109" s="113"/>
      <c r="L109" s="32"/>
      <c r="M109" s="113"/>
      <c r="N109" s="110"/>
      <c r="O109" s="113"/>
      <c r="P109" s="113"/>
      <c r="Q109" s="191"/>
      <c r="R109" s="23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41">
      <c r="A110" s="33"/>
      <c r="B110" s="55"/>
      <c r="C110" s="32"/>
      <c r="D110" s="55"/>
      <c r="E110" s="32"/>
      <c r="F110" s="110"/>
      <c r="G110" s="32"/>
      <c r="H110" s="28"/>
      <c r="I110" s="32"/>
      <c r="J110" s="113"/>
      <c r="K110" s="113"/>
      <c r="L110" s="32"/>
      <c r="M110" s="113"/>
      <c r="N110" s="112"/>
      <c r="O110" s="113"/>
      <c r="P110" s="113"/>
      <c r="Q110" s="191"/>
      <c r="R110" s="23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41">
      <c r="A111" s="33"/>
      <c r="B111" s="55"/>
      <c r="C111" s="32"/>
      <c r="D111" s="55"/>
      <c r="E111" s="32"/>
      <c r="F111" s="131"/>
      <c r="G111" s="32"/>
      <c r="H111" s="28"/>
      <c r="I111" s="32"/>
      <c r="J111" s="113"/>
      <c r="K111" s="113"/>
      <c r="L111" s="32"/>
      <c r="M111" s="113"/>
      <c r="N111" s="112"/>
      <c r="O111" s="113"/>
      <c r="P111" s="113"/>
      <c r="Q111" s="191"/>
      <c r="R111" s="32"/>
      <c r="S111" s="28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41">
      <c r="A112" s="28"/>
      <c r="B112" s="55"/>
      <c r="C112" s="32"/>
      <c r="D112" s="55"/>
      <c r="E112" s="32"/>
      <c r="F112" s="128"/>
      <c r="G112" s="32"/>
      <c r="H112" s="28"/>
      <c r="I112" s="32"/>
      <c r="J112" s="113"/>
      <c r="K112" s="113"/>
      <c r="L112" s="32"/>
      <c r="M112" s="113"/>
      <c r="N112" s="112"/>
      <c r="O112" s="113"/>
      <c r="P112" s="113"/>
      <c r="Q112" s="191"/>
      <c r="R112" s="23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41">
      <c r="A113" s="28"/>
      <c r="B113" s="55"/>
      <c r="C113" s="32"/>
      <c r="D113" s="55"/>
      <c r="E113" s="32"/>
      <c r="F113" s="128"/>
      <c r="G113" s="32"/>
      <c r="H113" s="28"/>
      <c r="I113" s="32"/>
      <c r="J113" s="113"/>
      <c r="K113" s="113"/>
      <c r="L113" s="32"/>
      <c r="M113" s="113"/>
      <c r="N113" s="112"/>
      <c r="O113" s="113"/>
      <c r="P113" s="113"/>
      <c r="Q113" s="191"/>
      <c r="R113" s="23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41">
      <c r="A114" s="28"/>
      <c r="B114" s="55"/>
      <c r="C114" s="32"/>
      <c r="D114" s="55"/>
      <c r="E114" s="32"/>
      <c r="F114" s="128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28"/>
      <c r="R114" s="23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41" ht="12.75" customHeight="1">
      <c r="A115" s="36"/>
      <c r="B115" s="55"/>
      <c r="C115" s="32"/>
      <c r="D115" s="55"/>
      <c r="E115" s="32"/>
      <c r="F115" s="128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28"/>
      <c r="R115" s="23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41" s="23" customFormat="1">
      <c r="A116" s="36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32"/>
      <c r="R116" s="26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N116"/>
      <c r="AO116"/>
    </row>
    <row r="117" spans="1:41">
      <c r="A117" s="28"/>
      <c r="B117" s="26"/>
      <c r="C117" s="26"/>
      <c r="D117" s="26"/>
      <c r="E117" s="26"/>
      <c r="F117" s="128"/>
      <c r="G117" s="32"/>
      <c r="H117" s="32"/>
      <c r="I117" s="32"/>
      <c r="J117" s="113"/>
      <c r="K117" s="113"/>
      <c r="L117" s="32"/>
      <c r="M117" s="113"/>
      <c r="N117" s="113"/>
      <c r="O117" s="113"/>
      <c r="P117" s="113"/>
      <c r="Q117" s="27"/>
      <c r="R117" s="26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41">
      <c r="A118" s="191"/>
      <c r="B118" s="26"/>
      <c r="C118" s="28"/>
      <c r="D118" s="26"/>
      <c r="E118" s="28"/>
      <c r="F118" s="110"/>
      <c r="G118" s="32"/>
      <c r="H118" s="191"/>
      <c r="I118" s="32"/>
      <c r="J118" s="113"/>
      <c r="K118" s="113"/>
      <c r="L118" s="32"/>
      <c r="M118" s="113"/>
      <c r="N118" s="110"/>
      <c r="O118" s="113"/>
      <c r="P118" s="113"/>
      <c r="Q118" s="191"/>
      <c r="R118" s="26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41">
      <c r="A119" s="191"/>
      <c r="B119" s="26"/>
      <c r="C119" s="28"/>
      <c r="D119" s="26"/>
      <c r="E119" s="28"/>
      <c r="F119" s="110"/>
      <c r="G119" s="32"/>
      <c r="H119" s="191"/>
      <c r="I119" s="32"/>
      <c r="J119" s="113"/>
      <c r="K119" s="113"/>
      <c r="L119" s="32"/>
      <c r="M119" s="113"/>
      <c r="N119" s="110"/>
      <c r="O119" s="113"/>
      <c r="P119" s="113"/>
      <c r="Q119" s="191"/>
      <c r="R119" s="26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41">
      <c r="A120" s="191"/>
      <c r="B120" s="55"/>
      <c r="C120" s="32"/>
      <c r="D120" s="55"/>
      <c r="E120" s="32"/>
      <c r="F120" s="110"/>
      <c r="G120" s="32"/>
      <c r="H120" s="191"/>
      <c r="I120" s="32"/>
      <c r="J120" s="113"/>
      <c r="K120" s="112"/>
      <c r="L120" s="28"/>
      <c r="M120" s="113"/>
      <c r="N120" s="110"/>
      <c r="O120" s="113"/>
      <c r="P120" s="113"/>
      <c r="Q120" s="191"/>
      <c r="R120" s="26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41" ht="12.75" customHeight="1">
      <c r="A121" s="53"/>
      <c r="B121" s="55"/>
      <c r="C121" s="32"/>
      <c r="D121" s="55"/>
      <c r="E121" s="32"/>
      <c r="F121" s="109"/>
      <c r="G121" s="32"/>
      <c r="H121" s="53"/>
      <c r="I121" s="32"/>
      <c r="J121" s="113"/>
      <c r="K121" s="112"/>
      <c r="L121" s="28"/>
      <c r="M121" s="112"/>
      <c r="N121" s="109"/>
      <c r="O121" s="113"/>
      <c r="P121" s="113"/>
      <c r="Q121" s="53"/>
      <c r="R121" s="26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41">
      <c r="A122" s="53"/>
      <c r="B122" s="55"/>
      <c r="C122" s="32"/>
      <c r="D122" s="55"/>
      <c r="E122" s="32"/>
      <c r="F122" s="109"/>
      <c r="G122" s="28"/>
      <c r="H122" s="53"/>
      <c r="I122" s="32"/>
      <c r="J122" s="113"/>
      <c r="K122" s="112"/>
      <c r="L122" s="28"/>
      <c r="M122" s="112"/>
      <c r="N122" s="109"/>
      <c r="O122" s="113"/>
      <c r="P122" s="113"/>
      <c r="Q122" s="53"/>
      <c r="R122" s="26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41">
      <c r="A123" s="191"/>
      <c r="B123" s="55"/>
      <c r="C123" s="32"/>
      <c r="D123" s="55"/>
      <c r="E123" s="32"/>
      <c r="F123" s="110"/>
      <c r="G123" s="28"/>
      <c r="H123" s="191"/>
      <c r="I123" s="32"/>
      <c r="J123" s="113"/>
      <c r="K123" s="112"/>
      <c r="L123" s="28"/>
      <c r="M123" s="112"/>
      <c r="N123" s="110"/>
      <c r="O123" s="113"/>
      <c r="P123" s="113"/>
      <c r="Q123" s="191"/>
      <c r="R123" s="26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41">
      <c r="A124" s="54"/>
      <c r="B124" s="55"/>
      <c r="C124" s="32"/>
      <c r="D124" s="55"/>
      <c r="E124" s="32"/>
      <c r="F124" s="111"/>
      <c r="G124" s="28"/>
      <c r="H124" s="54"/>
      <c r="I124" s="32"/>
      <c r="J124" s="113"/>
      <c r="K124" s="112"/>
      <c r="L124" s="28"/>
      <c r="M124" s="112"/>
      <c r="N124" s="111"/>
      <c r="O124" s="112"/>
      <c r="P124" s="112"/>
      <c r="Q124" s="54"/>
      <c r="R124" s="26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41" s="28" customFormat="1">
      <c r="A125" s="191"/>
      <c r="B125" s="55"/>
      <c r="C125" s="32"/>
      <c r="D125" s="55"/>
      <c r="E125" s="32"/>
      <c r="F125" s="110"/>
      <c r="H125" s="54"/>
      <c r="I125" s="32"/>
      <c r="J125" s="113"/>
      <c r="K125" s="112"/>
      <c r="M125" s="112"/>
      <c r="N125" s="111"/>
      <c r="O125" s="112"/>
      <c r="P125" s="112"/>
      <c r="Q125" s="54"/>
      <c r="R125" s="26"/>
      <c r="AN125"/>
      <c r="AO125"/>
    </row>
    <row r="126" spans="1:41" s="28" customFormat="1">
      <c r="A126" s="191"/>
      <c r="B126" s="55"/>
      <c r="C126" s="32"/>
      <c r="D126" s="55"/>
      <c r="E126" s="32"/>
      <c r="F126" s="110"/>
      <c r="H126" s="191"/>
      <c r="I126" s="32"/>
      <c r="J126" s="113"/>
      <c r="K126" s="112"/>
      <c r="M126" s="112"/>
      <c r="N126" s="110"/>
      <c r="O126" s="112"/>
      <c r="P126" s="112"/>
      <c r="Q126" s="191"/>
      <c r="R126" s="26"/>
      <c r="AN126"/>
      <c r="AO126"/>
    </row>
    <row r="127" spans="1:41" s="28" customFormat="1" ht="12.75" customHeight="1">
      <c r="A127" s="191"/>
      <c r="B127" s="55"/>
      <c r="C127" s="32"/>
      <c r="D127" s="55"/>
      <c r="E127" s="32"/>
      <c r="F127" s="110"/>
      <c r="H127" s="191"/>
      <c r="I127" s="32"/>
      <c r="J127" s="112"/>
      <c r="K127" s="112"/>
      <c r="M127" s="112"/>
      <c r="N127" s="110"/>
      <c r="O127" s="112"/>
      <c r="P127" s="112"/>
      <c r="Q127" s="191"/>
      <c r="R127" s="23"/>
      <c r="AN127"/>
      <c r="AO127"/>
    </row>
    <row r="128" spans="1:41" s="28" customFormat="1">
      <c r="A128" s="191"/>
      <c r="B128" s="55"/>
      <c r="C128" s="32"/>
      <c r="D128" s="55"/>
      <c r="E128" s="32"/>
      <c r="F128" s="110"/>
      <c r="H128" s="191"/>
      <c r="J128" s="112"/>
      <c r="K128" s="112"/>
      <c r="M128" s="112"/>
      <c r="N128" s="110"/>
      <c r="O128" s="112"/>
      <c r="P128" s="112"/>
      <c r="Q128" s="191"/>
      <c r="R128" s="23"/>
      <c r="AN128"/>
      <c r="AO128"/>
    </row>
    <row r="129" spans="1:41" s="28" customFormat="1">
      <c r="A129" s="191"/>
      <c r="B129" s="55"/>
      <c r="C129" s="32"/>
      <c r="D129" s="55"/>
      <c r="E129" s="32"/>
      <c r="F129" s="110"/>
      <c r="H129" s="191"/>
      <c r="J129" s="112"/>
      <c r="K129" s="112"/>
      <c r="M129" s="112"/>
      <c r="N129" s="110"/>
      <c r="O129" s="112"/>
      <c r="P129" s="112"/>
      <c r="Q129" s="191"/>
      <c r="R129" s="26"/>
      <c r="AN129"/>
      <c r="AO129"/>
    </row>
    <row r="130" spans="1:41" s="28" customFormat="1">
      <c r="A130" s="191"/>
      <c r="B130" s="55"/>
      <c r="C130" s="32"/>
      <c r="D130" s="55"/>
      <c r="E130" s="32"/>
      <c r="F130" s="110"/>
      <c r="H130" s="191"/>
      <c r="J130" s="112"/>
      <c r="K130" s="112"/>
      <c r="M130" s="112"/>
      <c r="N130" s="110"/>
      <c r="O130" s="112"/>
      <c r="P130" s="112"/>
      <c r="Q130" s="191"/>
      <c r="R130" s="26"/>
      <c r="AN130"/>
      <c r="AO130"/>
    </row>
    <row r="131" spans="1:41" s="28" customFormat="1">
      <c r="A131" s="33"/>
      <c r="B131" s="55"/>
      <c r="C131" s="32"/>
      <c r="D131" s="55"/>
      <c r="E131" s="32"/>
      <c r="F131" s="131"/>
      <c r="J131" s="112"/>
      <c r="K131" s="112"/>
      <c r="M131" s="112"/>
      <c r="N131" s="112"/>
      <c r="O131" s="112"/>
      <c r="P131" s="112"/>
      <c r="R131" s="26"/>
      <c r="AN131"/>
      <c r="AO131"/>
    </row>
    <row r="132" spans="1:41" s="28" customFormat="1">
      <c r="A132" s="33"/>
      <c r="B132" s="55"/>
      <c r="C132" s="32"/>
      <c r="D132" s="55"/>
      <c r="E132" s="32"/>
      <c r="F132" s="131"/>
      <c r="J132" s="113"/>
      <c r="K132" s="112"/>
      <c r="L132" s="26"/>
      <c r="M132" s="112"/>
      <c r="N132" s="112"/>
      <c r="O132" s="112"/>
      <c r="P132" s="112"/>
      <c r="R132" s="32"/>
      <c r="S132" s="23"/>
      <c r="AN132"/>
      <c r="AO132"/>
    </row>
    <row r="133" spans="1:41" s="28" customFormat="1" ht="12.75" customHeight="1">
      <c r="A133" s="53"/>
      <c r="B133" s="55"/>
      <c r="C133" s="32"/>
      <c r="D133" s="55"/>
      <c r="E133" s="32"/>
      <c r="F133" s="109"/>
      <c r="H133" s="23"/>
      <c r="I133" s="32"/>
      <c r="J133" s="113"/>
      <c r="K133" s="112"/>
      <c r="L133" s="26"/>
      <c r="M133" s="112"/>
      <c r="N133" s="112"/>
      <c r="O133" s="112"/>
      <c r="P133" s="112"/>
      <c r="R133" s="32"/>
      <c r="S133" s="23"/>
      <c r="AN133"/>
      <c r="AO133"/>
    </row>
    <row r="134" spans="1:41" s="28" customFormat="1">
      <c r="A134" s="53"/>
      <c r="B134" s="55"/>
      <c r="C134" s="32"/>
      <c r="D134" s="55"/>
      <c r="E134" s="32"/>
      <c r="F134" s="109"/>
      <c r="I134" s="32"/>
      <c r="J134" s="113"/>
      <c r="K134" s="112"/>
      <c r="L134" s="26"/>
      <c r="M134" s="112"/>
      <c r="N134" s="102"/>
      <c r="O134" s="112"/>
      <c r="P134" s="112"/>
      <c r="R134" s="32"/>
      <c r="S134" s="23"/>
      <c r="AN134"/>
      <c r="AO134"/>
    </row>
    <row r="135" spans="1:41" s="28" customFormat="1">
      <c r="B135" s="55"/>
      <c r="C135" s="32"/>
      <c r="D135" s="55"/>
      <c r="E135" s="32"/>
      <c r="F135" s="128"/>
      <c r="H135" s="32"/>
      <c r="I135" s="32"/>
      <c r="J135" s="113"/>
      <c r="K135" s="112"/>
      <c r="L135" s="26"/>
      <c r="M135" s="112"/>
      <c r="N135" s="112"/>
      <c r="O135" s="112"/>
      <c r="P135" s="112"/>
      <c r="R135" s="32"/>
      <c r="S135" s="23"/>
      <c r="AN135"/>
      <c r="AO135"/>
    </row>
    <row r="136" spans="1:41" s="28" customFormat="1">
      <c r="A136" s="36"/>
      <c r="B136" s="55"/>
      <c r="C136" s="32"/>
      <c r="D136" s="55"/>
      <c r="E136" s="32"/>
      <c r="F136" s="128"/>
      <c r="I136" s="32"/>
      <c r="J136" s="113"/>
      <c r="K136" s="112"/>
      <c r="L136" s="26"/>
      <c r="M136" s="112"/>
      <c r="N136" s="113"/>
      <c r="O136" s="112"/>
      <c r="P136" s="112"/>
      <c r="R136" s="32"/>
      <c r="S136" s="23"/>
      <c r="AN136"/>
      <c r="AO136"/>
    </row>
    <row r="137" spans="1:41" s="28" customFormat="1">
      <c r="A137" s="36"/>
      <c r="B137" s="55"/>
      <c r="C137" s="32"/>
      <c r="D137" s="55"/>
      <c r="E137" s="32"/>
      <c r="F137" s="128"/>
      <c r="I137" s="32"/>
      <c r="J137" s="112"/>
      <c r="K137" s="112"/>
      <c r="L137" s="26"/>
      <c r="M137" s="112"/>
      <c r="N137" s="112"/>
      <c r="O137" s="112"/>
      <c r="P137" s="112"/>
      <c r="Q137" s="27"/>
      <c r="R137" s="32"/>
      <c r="S137" s="23"/>
      <c r="AN137"/>
      <c r="AO137"/>
    </row>
    <row r="138" spans="1:41" s="28" customFormat="1">
      <c r="B138" s="55"/>
      <c r="C138" s="32"/>
      <c r="D138" s="55"/>
      <c r="E138" s="32"/>
      <c r="F138" s="128"/>
      <c r="J138" s="112"/>
      <c r="K138" s="112"/>
      <c r="L138" s="26"/>
      <c r="M138" s="112"/>
      <c r="N138" s="112"/>
      <c r="O138" s="112"/>
      <c r="P138" s="112"/>
      <c r="Q138" s="23"/>
      <c r="R138" s="32"/>
      <c r="S138" s="23"/>
      <c r="AN138"/>
      <c r="AO138"/>
    </row>
    <row r="139" spans="1:41" s="28" customFormat="1" ht="12.75" customHeight="1">
      <c r="B139" s="55"/>
      <c r="C139" s="32"/>
      <c r="D139" s="55"/>
      <c r="E139" s="32"/>
      <c r="F139" s="128"/>
      <c r="J139" s="112"/>
      <c r="K139" s="112"/>
      <c r="L139" s="26"/>
      <c r="M139" s="112"/>
      <c r="N139" s="112"/>
      <c r="O139" s="112"/>
      <c r="P139" s="112"/>
      <c r="Q139" s="27"/>
      <c r="R139" s="32"/>
      <c r="S139" s="23"/>
      <c r="AN139"/>
      <c r="AO139"/>
    </row>
    <row r="140" spans="1:41" s="28" customFormat="1">
      <c r="B140" s="55"/>
      <c r="C140" s="32"/>
      <c r="D140" s="55"/>
      <c r="E140" s="32"/>
      <c r="F140" s="132"/>
      <c r="J140" s="112"/>
      <c r="K140" s="112"/>
      <c r="L140" s="26"/>
      <c r="M140" s="112"/>
      <c r="N140" s="112"/>
      <c r="O140" s="112"/>
      <c r="P140" s="112"/>
      <c r="Q140" s="32"/>
      <c r="R140" s="32"/>
      <c r="S140" s="23"/>
      <c r="AN140"/>
      <c r="AO140"/>
    </row>
    <row r="141" spans="1:41">
      <c r="A141" s="28"/>
      <c r="B141" s="55"/>
      <c r="C141" s="32"/>
      <c r="D141" s="55"/>
      <c r="E141" s="32"/>
      <c r="F141" s="128"/>
      <c r="G141" s="28"/>
      <c r="H141" s="28"/>
      <c r="I141" s="28"/>
      <c r="J141" s="112"/>
      <c r="K141" s="112"/>
      <c r="L141" s="26"/>
      <c r="M141" s="112"/>
      <c r="N141" s="112"/>
      <c r="O141" s="112"/>
      <c r="P141" s="112"/>
      <c r="Q141" s="28"/>
      <c r="R141" s="32"/>
      <c r="S141" s="18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41">
      <c r="A142" s="28"/>
      <c r="B142" s="26"/>
      <c r="C142" s="28"/>
      <c r="D142" s="26"/>
      <c r="E142" s="28"/>
      <c r="F142" s="128"/>
      <c r="G142" s="28"/>
      <c r="H142" s="28"/>
      <c r="I142" s="28"/>
      <c r="J142" s="112"/>
      <c r="K142" s="112"/>
      <c r="L142" s="26"/>
      <c r="M142" s="112"/>
      <c r="N142" s="112"/>
      <c r="O142" s="112"/>
      <c r="P142" s="112"/>
      <c r="Q142" s="28"/>
      <c r="R142" s="32"/>
      <c r="S142" s="23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41">
      <c r="A143" s="28"/>
      <c r="B143" s="26"/>
      <c r="C143" s="28"/>
      <c r="D143" s="26"/>
      <c r="E143" s="28"/>
      <c r="F143" s="133"/>
      <c r="G143" s="28"/>
      <c r="H143" s="28"/>
      <c r="I143" s="28"/>
      <c r="J143" s="112"/>
      <c r="K143" s="112"/>
      <c r="L143" s="26"/>
      <c r="M143" s="112"/>
      <c r="N143" s="112"/>
      <c r="O143" s="112"/>
      <c r="P143" s="112"/>
      <c r="Q143" s="28"/>
      <c r="R143" s="189"/>
      <c r="S143" s="23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41" ht="12.75" customHeight="1">
      <c r="A144" s="28"/>
      <c r="B144" s="26"/>
      <c r="C144" s="28"/>
      <c r="D144" s="26"/>
      <c r="E144" s="28"/>
      <c r="F144" s="134"/>
      <c r="G144" s="28"/>
      <c r="H144" s="28"/>
      <c r="I144" s="28"/>
      <c r="J144" s="112"/>
      <c r="K144" s="112"/>
      <c r="L144" s="26"/>
      <c r="M144" s="112"/>
      <c r="N144" s="112"/>
      <c r="O144" s="112"/>
      <c r="P144" s="112"/>
      <c r="Q144" s="28"/>
      <c r="R144" s="189"/>
      <c r="S144" s="23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>
      <c r="A145" s="23"/>
      <c r="B145" s="26"/>
      <c r="C145" s="28"/>
      <c r="D145" s="26"/>
      <c r="E145" s="28"/>
      <c r="F145" s="134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189"/>
      <c r="S145" s="23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>
      <c r="A146" s="28"/>
      <c r="B146" s="26"/>
      <c r="C146" s="28"/>
      <c r="D146" s="26"/>
      <c r="E146" s="28"/>
      <c r="F146" s="134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189"/>
      <c r="S146" s="23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>
      <c r="A147" s="32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7"/>
      <c r="R147" s="189"/>
      <c r="S147" s="23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>
      <c r="A148" s="34"/>
      <c r="B148" s="26"/>
      <c r="C148" s="28"/>
      <c r="D148" s="26"/>
      <c r="E148" s="28"/>
      <c r="F148" s="133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7"/>
      <c r="R148" s="189"/>
      <c r="S148" s="23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>
      <c r="A149" s="35"/>
      <c r="B149" s="26"/>
      <c r="C149" s="28"/>
      <c r="D149" s="26"/>
      <c r="E149" s="28"/>
      <c r="F149" s="133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7"/>
      <c r="R149" s="189"/>
      <c r="S149" s="23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>
      <c r="A150" s="35"/>
      <c r="B150" s="26"/>
      <c r="C150" s="28"/>
      <c r="D150" s="26"/>
      <c r="E150" s="28"/>
      <c r="F150" s="133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7"/>
      <c r="R150" s="32"/>
      <c r="S150" s="23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>
      <c r="A151" s="35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32"/>
      <c r="S151" s="23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>
      <c r="A152" s="33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32"/>
      <c r="S152" s="23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>
      <c r="A153" s="33"/>
      <c r="B153" s="26"/>
      <c r="C153" s="28"/>
      <c r="D153" s="26"/>
      <c r="E153" s="28"/>
      <c r="F153" s="128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55"/>
      <c r="S153" s="23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>
      <c r="A154" s="33"/>
      <c r="B154" s="26"/>
      <c r="C154" s="28"/>
      <c r="D154" s="26"/>
      <c r="E154" s="28"/>
      <c r="F154" s="128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26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>
      <c r="A155" s="33"/>
      <c r="B155" s="26"/>
      <c r="C155" s="28"/>
      <c r="D155" s="26"/>
      <c r="E155" s="28"/>
      <c r="F155" s="128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26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>
      <c r="A156" s="33"/>
      <c r="B156" s="26"/>
      <c r="C156" s="28"/>
      <c r="D156" s="26"/>
      <c r="E156" s="28"/>
      <c r="F156" s="131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26"/>
      <c r="S156" s="28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>
      <c r="A157" s="33"/>
      <c r="B157" s="26"/>
      <c r="C157" s="28"/>
      <c r="D157" s="26"/>
      <c r="E157" s="28"/>
      <c r="F157" s="131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26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>
      <c r="A158" s="28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>
      <c r="A159" s="28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>
      <c r="A160" s="28"/>
      <c r="B160" s="26"/>
      <c r="C160" s="28"/>
      <c r="D160" s="26"/>
      <c r="E160" s="28"/>
      <c r="F160" s="128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41" s="32" customFormat="1">
      <c r="A161" s="36"/>
      <c r="B161" s="26"/>
      <c r="C161" s="28"/>
      <c r="D161" s="26"/>
      <c r="E161" s="28"/>
      <c r="F161" s="128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6"/>
      <c r="R161" s="26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N161"/>
      <c r="AO161"/>
    </row>
    <row r="162" spans="1:41">
      <c r="A162" s="36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6"/>
      <c r="R162" s="26"/>
      <c r="S162" s="32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41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6"/>
      <c r="R163" s="26"/>
      <c r="S163" s="32"/>
      <c r="T163" s="23"/>
      <c r="U163" s="33"/>
      <c r="V163" s="28"/>
      <c r="W163" s="28"/>
      <c r="X163" s="28"/>
      <c r="Y163" s="28"/>
      <c r="Z163" s="28"/>
      <c r="AA163" s="28"/>
      <c r="AB163" s="28"/>
      <c r="AC163" s="28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41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6"/>
      <c r="R164" s="23"/>
      <c r="S164" s="32"/>
      <c r="T164" s="23"/>
      <c r="U164" s="36"/>
      <c r="V164" s="28"/>
      <c r="W164" s="28"/>
      <c r="X164" s="28"/>
      <c r="Y164" s="28"/>
      <c r="Z164" s="28"/>
      <c r="AA164" s="28"/>
      <c r="AB164" s="28"/>
      <c r="AC164" s="28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41">
      <c r="A165" s="28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28"/>
      <c r="P165" s="128"/>
      <c r="Q165" s="26"/>
      <c r="R165" s="23"/>
      <c r="S165" s="32"/>
      <c r="T165" s="23"/>
      <c r="U165" s="36"/>
      <c r="V165" s="28"/>
      <c r="W165" s="28"/>
      <c r="X165" s="28"/>
      <c r="Y165" s="28"/>
      <c r="Z165" s="28"/>
      <c r="AA165" s="28"/>
      <c r="AB165" s="28"/>
      <c r="AC165" s="28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41">
      <c r="A166" s="28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28"/>
      <c r="P166" s="128"/>
      <c r="Q166" s="26"/>
      <c r="R166" s="23"/>
      <c r="S166" s="32"/>
      <c r="T166" s="23"/>
      <c r="U166" s="33"/>
      <c r="V166" s="28"/>
      <c r="W166" s="28"/>
      <c r="X166" s="28"/>
      <c r="Y166" s="28"/>
      <c r="Z166" s="28"/>
      <c r="AA166" s="28"/>
      <c r="AB166" s="28"/>
      <c r="AC166" s="28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41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28"/>
      <c r="P167" s="128"/>
      <c r="Q167" s="26"/>
      <c r="R167" s="23"/>
      <c r="S167" s="32"/>
      <c r="T167" s="23"/>
      <c r="U167" s="33"/>
      <c r="V167" s="28"/>
      <c r="W167" s="28"/>
      <c r="X167" s="28"/>
      <c r="Y167" s="28"/>
      <c r="Z167" s="28"/>
      <c r="AA167" s="28"/>
      <c r="AB167" s="28"/>
      <c r="AC167" s="28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41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32"/>
      <c r="T168" s="23"/>
      <c r="U168" s="33"/>
      <c r="V168" s="28"/>
      <c r="W168" s="28"/>
      <c r="X168" s="28"/>
      <c r="Y168" s="28"/>
      <c r="Z168" s="28"/>
      <c r="AA168" s="28"/>
      <c r="AB168" s="28"/>
      <c r="AC168" s="28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41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32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41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32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41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32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41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32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41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32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41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32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41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32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41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32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41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41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41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41">
      <c r="A180" s="28"/>
      <c r="B180" s="26"/>
      <c r="C180" s="28"/>
      <c r="D180" s="26"/>
      <c r="E180" s="28"/>
      <c r="F180" s="128"/>
      <c r="G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41">
      <c r="A181" s="28"/>
      <c r="B181" s="26"/>
      <c r="C181" s="28"/>
      <c r="D181" s="26"/>
      <c r="E181" s="28"/>
      <c r="F181" s="128"/>
      <c r="G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41" s="32" customFormat="1">
      <c r="A182" s="28"/>
      <c r="B182" s="26"/>
      <c r="C182" s="28"/>
      <c r="D182" s="26"/>
      <c r="E182" s="28"/>
      <c r="F182" s="128"/>
      <c r="G182" s="28"/>
      <c r="H182" s="2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AN182"/>
      <c r="AO182"/>
    </row>
    <row r="183" spans="1:41" s="32" customFormat="1">
      <c r="A183" s="28"/>
      <c r="B183" s="26"/>
      <c r="C183" s="28"/>
      <c r="D183" s="26"/>
      <c r="E183" s="28"/>
      <c r="F183" s="128"/>
      <c r="G183" s="28"/>
      <c r="H183" s="2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AN183"/>
      <c r="AO183"/>
    </row>
    <row r="184" spans="1:41" s="32" customFormat="1">
      <c r="A184" s="28"/>
      <c r="B184" s="26"/>
      <c r="C184" s="28"/>
      <c r="D184" s="26"/>
      <c r="E184" s="28"/>
      <c r="F184" s="128"/>
      <c r="G184" s="28"/>
      <c r="H184" s="2"/>
      <c r="I184" s="28"/>
      <c r="J184" s="112"/>
      <c r="K184" s="112"/>
      <c r="L184" s="26"/>
      <c r="M184" s="112"/>
      <c r="N184" s="89"/>
      <c r="O184" s="128"/>
      <c r="P184" s="128"/>
      <c r="Q184" s="26"/>
      <c r="R184" s="23"/>
      <c r="S184" s="55"/>
      <c r="AN184"/>
      <c r="AO184"/>
    </row>
    <row r="185" spans="1:41" s="32" customFormat="1">
      <c r="A185" s="28"/>
      <c r="B185" s="26"/>
      <c r="C185" s="28"/>
      <c r="D185" s="26"/>
      <c r="E185" s="28"/>
      <c r="F185" s="123"/>
      <c r="G185" s="28"/>
      <c r="H185" s="2"/>
      <c r="I185" s="28"/>
      <c r="J185" s="112"/>
      <c r="K185" s="112"/>
      <c r="L185" s="26"/>
      <c r="M185" s="112"/>
      <c r="N185" s="89"/>
      <c r="O185" s="128"/>
      <c r="P185" s="128"/>
      <c r="Q185" s="26"/>
      <c r="R185" s="23"/>
      <c r="S185" s="26"/>
      <c r="AN185"/>
      <c r="AO185"/>
    </row>
    <row r="186" spans="1:41" s="32" customFormat="1">
      <c r="A186" s="28"/>
      <c r="B186" s="26"/>
      <c r="C186" s="28"/>
      <c r="D186" s="26"/>
      <c r="E186" s="28"/>
      <c r="F186" s="123"/>
      <c r="G186" s="28"/>
      <c r="H186" s="2"/>
      <c r="I186" s="28"/>
      <c r="J186" s="112"/>
      <c r="K186" s="112"/>
      <c r="L186" s="26"/>
      <c r="M186" s="112"/>
      <c r="N186" s="89"/>
      <c r="O186" s="128"/>
      <c r="P186" s="128"/>
      <c r="Q186" s="26"/>
      <c r="R186" s="23"/>
      <c r="S186" s="26"/>
      <c r="AN186"/>
      <c r="AO186"/>
    </row>
    <row r="187" spans="1:41" s="32" customFormat="1">
      <c r="A187" s="28"/>
      <c r="B187" s="26"/>
      <c r="C187" s="28"/>
      <c r="D187" s="26"/>
      <c r="E187" s="28"/>
      <c r="F187" s="123"/>
      <c r="G187" s="28"/>
      <c r="H187" s="2"/>
      <c r="I187" s="28"/>
      <c r="J187" s="112"/>
      <c r="K187" s="112"/>
      <c r="L187" s="26"/>
      <c r="M187" s="112"/>
      <c r="N187" s="89"/>
      <c r="O187" s="128"/>
      <c r="P187" s="128"/>
      <c r="Q187" s="26"/>
      <c r="R187" s="23"/>
      <c r="S187" s="26"/>
      <c r="AN187"/>
      <c r="AO187"/>
    </row>
    <row r="188" spans="1:41" s="32" customFormat="1">
      <c r="A188" s="28"/>
      <c r="B188" s="26"/>
      <c r="C188" s="28"/>
      <c r="D188" s="26"/>
      <c r="E188" s="28"/>
      <c r="F188" s="123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3"/>
      <c r="R188" s="23"/>
      <c r="S188" s="26"/>
      <c r="AN188"/>
      <c r="AO188"/>
    </row>
    <row r="189" spans="1:41" s="32" customFormat="1">
      <c r="A189" s="2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3"/>
      <c r="R189" s="23"/>
      <c r="S189" s="26"/>
      <c r="AN189"/>
      <c r="AO189"/>
    </row>
    <row r="190" spans="1:41" s="32" customFormat="1">
      <c r="A190" s="2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3"/>
      <c r="R190" s="23"/>
      <c r="S190" s="26"/>
      <c r="AN190"/>
      <c r="AO190"/>
    </row>
    <row r="191" spans="1:41" s="32" customFormat="1">
      <c r="A191" s="2"/>
      <c r="B191" s="26"/>
      <c r="C191" s="28"/>
      <c r="D191" s="26"/>
      <c r="E191" s="28"/>
      <c r="F191" s="123"/>
      <c r="G191" s="2"/>
      <c r="H191" s="2"/>
      <c r="I191" s="28"/>
      <c r="J191" s="112"/>
      <c r="K191" s="112"/>
      <c r="L191" s="26"/>
      <c r="M191" s="112"/>
      <c r="N191" s="89"/>
      <c r="O191" s="123"/>
      <c r="P191" s="123"/>
      <c r="Q191" s="3"/>
      <c r="R191" s="23"/>
      <c r="S191" s="26"/>
      <c r="AN191"/>
      <c r="AO191"/>
    </row>
    <row r="192" spans="1:41" s="32" customFormat="1">
      <c r="A192" s="2"/>
      <c r="B192" s="26"/>
      <c r="C192" s="28"/>
      <c r="D192" s="26"/>
      <c r="E192" s="28"/>
      <c r="F192" s="123"/>
      <c r="G192" s="2"/>
      <c r="H192" s="2"/>
      <c r="I192" s="28"/>
      <c r="J192" s="112"/>
      <c r="K192" s="112"/>
      <c r="L192" s="26"/>
      <c r="M192" s="112"/>
      <c r="N192" s="89"/>
      <c r="O192" s="123"/>
      <c r="P192" s="123"/>
      <c r="Q192" s="3"/>
      <c r="R192" s="23"/>
      <c r="S192" s="26"/>
      <c r="AN192"/>
      <c r="AO192"/>
    </row>
    <row r="193" spans="1:41" s="32" customFormat="1">
      <c r="A193" s="2"/>
      <c r="B193" s="26"/>
      <c r="C193" s="28"/>
      <c r="D193" s="26"/>
      <c r="E193" s="28"/>
      <c r="F193" s="123"/>
      <c r="G193" s="2"/>
      <c r="H193" s="2"/>
      <c r="I193" s="28"/>
      <c r="J193" s="89"/>
      <c r="K193" s="89"/>
      <c r="L193" s="3"/>
      <c r="M193" s="112"/>
      <c r="N193" s="89"/>
      <c r="O193" s="123"/>
      <c r="P193" s="123"/>
      <c r="Q193" s="3"/>
      <c r="R193" s="23"/>
      <c r="S193" s="26"/>
      <c r="AN193"/>
      <c r="AO193"/>
    </row>
    <row r="194" spans="1:41" s="1" customFormat="1">
      <c r="A194" s="2"/>
      <c r="B194" s="3"/>
      <c r="C194" s="2"/>
      <c r="D194" s="3"/>
      <c r="E194" s="2"/>
      <c r="F194" s="123"/>
      <c r="G194" s="2"/>
      <c r="H194" s="2"/>
      <c r="I194" s="2"/>
      <c r="J194" s="89"/>
      <c r="K194" s="89"/>
      <c r="L194" s="3"/>
      <c r="M194" s="89"/>
      <c r="N194" s="89"/>
      <c r="O194" s="123"/>
      <c r="P194" s="123"/>
      <c r="Q194" s="3"/>
      <c r="R194" s="4"/>
      <c r="S194" s="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/>
      <c r="AO194"/>
    </row>
    <row r="195" spans="1:41" s="1" customFormat="1">
      <c r="A195" s="2"/>
      <c r="B195" s="3"/>
      <c r="C195" s="2"/>
      <c r="D195" s="3"/>
      <c r="E195" s="2"/>
      <c r="F195" s="123"/>
      <c r="G195" s="2"/>
      <c r="H195" s="2"/>
      <c r="I195" s="2"/>
      <c r="J195" s="89"/>
      <c r="K195" s="89"/>
      <c r="L195" s="3"/>
      <c r="M195" s="89"/>
      <c r="N195" s="89"/>
      <c r="O195" s="123"/>
      <c r="P195" s="123"/>
      <c r="Q195" s="3"/>
      <c r="R195" s="4"/>
      <c r="S195" s="2"/>
      <c r="T195" s="31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/>
      <c r="AO195"/>
    </row>
    <row r="196" spans="1:41" s="1" customFormat="1">
      <c r="A196" s="2"/>
      <c r="B196" s="3"/>
      <c r="C196" s="2"/>
      <c r="D196" s="3"/>
      <c r="E196" s="2"/>
      <c r="F196" s="123"/>
      <c r="G196" s="2"/>
      <c r="H196" s="2"/>
      <c r="I196" s="2"/>
      <c r="J196" s="89"/>
      <c r="K196" s="89"/>
      <c r="L196" s="3"/>
      <c r="M196" s="89"/>
      <c r="N196" s="89"/>
      <c r="O196" s="123"/>
      <c r="P196" s="123"/>
      <c r="Q196" s="3"/>
      <c r="R196" s="4"/>
      <c r="S196" s="2"/>
      <c r="T196" s="31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/>
      <c r="AO196"/>
    </row>
    <row r="197" spans="1:41" s="1" customFormat="1">
      <c r="A197" s="2"/>
      <c r="B197" s="3"/>
      <c r="C197" s="2"/>
      <c r="D197" s="3"/>
      <c r="E197" s="2"/>
      <c r="F197" s="123"/>
      <c r="G197" s="2"/>
      <c r="H197" s="2"/>
      <c r="I197" s="2"/>
      <c r="J197" s="89"/>
      <c r="K197" s="89"/>
      <c r="L197" s="3"/>
      <c r="M197" s="89"/>
      <c r="N197" s="89"/>
      <c r="O197" s="123"/>
      <c r="P197" s="123"/>
      <c r="Q197" s="3"/>
      <c r="R197" s="4"/>
      <c r="S197" s="2"/>
      <c r="T197" s="31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/>
      <c r="AO197"/>
    </row>
    <row r="198" spans="1:41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3"/>
      <c r="S198" s="22"/>
      <c r="T198" s="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/>
      <c r="AO198"/>
    </row>
    <row r="199" spans="1:41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3"/>
      <c r="S199" s="2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/>
      <c r="AO199"/>
    </row>
    <row r="200" spans="1:41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3"/>
      <c r="S200" s="2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/>
      <c r="AO200"/>
    </row>
    <row r="201" spans="1:41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3"/>
      <c r="S201" s="2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/>
      <c r="AO201"/>
    </row>
    <row r="202" spans="1:41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2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/>
      <c r="AO202"/>
    </row>
    <row r="203" spans="1:41">
      <c r="AD203" s="32"/>
      <c r="AE203" s="32"/>
      <c r="AF203" s="32"/>
    </row>
    <row r="206" spans="1:41">
      <c r="J206" s="2"/>
      <c r="K206" s="2"/>
      <c r="L206" s="2"/>
    </row>
    <row r="207" spans="1:41">
      <c r="B207" s="2"/>
      <c r="D207" s="2"/>
      <c r="F207" s="2"/>
      <c r="J207" s="2"/>
      <c r="K207" s="2"/>
      <c r="L207" s="2"/>
      <c r="M207" s="2"/>
      <c r="N207" s="2"/>
      <c r="Q207" s="2"/>
      <c r="R207" s="2"/>
      <c r="S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41">
      <c r="B208" s="2"/>
      <c r="D208" s="2"/>
      <c r="F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2:39">
      <c r="B209" s="2"/>
      <c r="D209" s="2"/>
      <c r="F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2:39">
      <c r="B210" s="2"/>
      <c r="D210" s="2"/>
      <c r="F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2:39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2:39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2:39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2:39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2:39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2:39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2:39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2:39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2:39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2:39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2:39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2:39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2:39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2:39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2:39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2:39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2:39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2:39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2:39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2:39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2:39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2:39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2:39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2:39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2:39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2:39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2:39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2:39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2:39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2:39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2:39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2:39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2:39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2:39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2:39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2:39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2:39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2:39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2:39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2:39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2:39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2:39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2:39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2:39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2:39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2:39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2:39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2:39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2:39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2:39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2:39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2:39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2:39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2:39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2:39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2:39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2:39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2:39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2:39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2:39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2:39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2:39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2:39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2:39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2:39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2:39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2:39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2:39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2:39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2:39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2:39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2:39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2:39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2:39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2:39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2:39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2:39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2:39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2:39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2:39">
      <c r="B290" s="2"/>
      <c r="D290" s="2"/>
      <c r="F290" s="2"/>
      <c r="M290" s="2"/>
      <c r="N290" s="2"/>
      <c r="O290" s="2"/>
      <c r="P290" s="2"/>
      <c r="Q290" s="2"/>
      <c r="R290" s="2"/>
      <c r="S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2:39">
      <c r="O291" s="2"/>
      <c r="P291" s="2"/>
    </row>
  </sheetData>
  <sheetProtection password="C9FF" sheet="1" objects="1" scenarios="1"/>
  <mergeCells count="346">
    <mergeCell ref="T57:T58"/>
    <mergeCell ref="T59:T60"/>
    <mergeCell ref="T61:T62"/>
    <mergeCell ref="T63:T64"/>
    <mergeCell ref="M72:O72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Q69:R69"/>
    <mergeCell ref="M68:O68"/>
    <mergeCell ref="M69:O69"/>
    <mergeCell ref="S51:S52"/>
    <mergeCell ref="O51:O52"/>
    <mergeCell ref="P51:P52"/>
    <mergeCell ref="Q51:Q52"/>
    <mergeCell ref="R51:R52"/>
    <mergeCell ref="R45:R46"/>
    <mergeCell ref="S45:S46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F25:F26"/>
    <mergeCell ref="G25:G26"/>
    <mergeCell ref="F27:F28"/>
    <mergeCell ref="G27:G28"/>
    <mergeCell ref="F29:F30"/>
    <mergeCell ref="G29:G30"/>
    <mergeCell ref="F31:F32"/>
    <mergeCell ref="G31:G32"/>
    <mergeCell ref="F33:F34"/>
    <mergeCell ref="G33:G34"/>
    <mergeCell ref="A39:A40"/>
    <mergeCell ref="H39:H40"/>
    <mergeCell ref="I39:J40"/>
    <mergeCell ref="A43:A44"/>
    <mergeCell ref="A41:A42"/>
    <mergeCell ref="H41:H42"/>
    <mergeCell ref="I41:J42"/>
    <mergeCell ref="A45:A46"/>
    <mergeCell ref="H45:H46"/>
    <mergeCell ref="I45:J46"/>
    <mergeCell ref="F43:F44"/>
    <mergeCell ref="G43:G44"/>
    <mergeCell ref="F39:F40"/>
    <mergeCell ref="G39:G40"/>
    <mergeCell ref="F41:F42"/>
    <mergeCell ref="G41:G42"/>
    <mergeCell ref="Q47:Q48"/>
    <mergeCell ref="R47:R48"/>
    <mergeCell ref="S47:S48"/>
    <mergeCell ref="Q49:Q50"/>
    <mergeCell ref="R49:R50"/>
    <mergeCell ref="S49:S50"/>
    <mergeCell ref="Q45:Q46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S41:S42"/>
    <mergeCell ref="S43:S44"/>
    <mergeCell ref="K41:K42"/>
    <mergeCell ref="L41:L42"/>
    <mergeCell ref="M41:M42"/>
    <mergeCell ref="N41:N42"/>
    <mergeCell ref="O41:O42"/>
    <mergeCell ref="P41:P42"/>
    <mergeCell ref="S29:S30"/>
    <mergeCell ref="S33:S34"/>
    <mergeCell ref="A33:A34"/>
    <mergeCell ref="H33:H34"/>
    <mergeCell ref="I33:J34"/>
    <mergeCell ref="K33:K34"/>
    <mergeCell ref="L33:L34"/>
    <mergeCell ref="M33:M34"/>
    <mergeCell ref="A35:A36"/>
    <mergeCell ref="H35:H36"/>
    <mergeCell ref="I35:J36"/>
    <mergeCell ref="K35:K36"/>
    <mergeCell ref="L35:L36"/>
    <mergeCell ref="M35:M36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A31:A32"/>
    <mergeCell ref="Q27:Q28"/>
    <mergeCell ref="R27:R28"/>
    <mergeCell ref="S27:S28"/>
    <mergeCell ref="P25:P26"/>
    <mergeCell ref="Q25:Q26"/>
    <mergeCell ref="R25:R26"/>
    <mergeCell ref="K25:K26"/>
    <mergeCell ref="L25:L26"/>
    <mergeCell ref="M25:M26"/>
    <mergeCell ref="N25:N26"/>
    <mergeCell ref="O25:O26"/>
    <mergeCell ref="H27:H28"/>
    <mergeCell ref="I27:J28"/>
    <mergeCell ref="K27:K28"/>
    <mergeCell ref="L27:L28"/>
    <mergeCell ref="M27:M28"/>
    <mergeCell ref="N27:N28"/>
    <mergeCell ref="A27:A28"/>
    <mergeCell ref="O27:O28"/>
    <mergeCell ref="P27:P28"/>
    <mergeCell ref="Q29:Q30"/>
    <mergeCell ref="R29:R30"/>
    <mergeCell ref="N33:N34"/>
    <mergeCell ref="O33:O34"/>
    <mergeCell ref="P33:P34"/>
    <mergeCell ref="Q33:Q34"/>
    <mergeCell ref="R33:R34"/>
    <mergeCell ref="N35:N36"/>
    <mergeCell ref="O35:O36"/>
    <mergeCell ref="P35:P36"/>
    <mergeCell ref="Q35:Q36"/>
    <mergeCell ref="R35:R36"/>
    <mergeCell ref="R31:R32"/>
    <mergeCell ref="O31:O32"/>
    <mergeCell ref="P31:P32"/>
    <mergeCell ref="Q31:Q32"/>
    <mergeCell ref="A4:B4"/>
    <mergeCell ref="K21:K22"/>
    <mergeCell ref="L21:L22"/>
    <mergeCell ref="M21:M22"/>
    <mergeCell ref="N21:N22"/>
    <mergeCell ref="O21:O22"/>
    <mergeCell ref="A1:H1"/>
    <mergeCell ref="E17:F17"/>
    <mergeCell ref="E18:F18"/>
    <mergeCell ref="A21:A22"/>
    <mergeCell ref="B21:C21"/>
    <mergeCell ref="H21:H22"/>
    <mergeCell ref="I21:J22"/>
    <mergeCell ref="F21:G21"/>
    <mergeCell ref="D14:F14"/>
    <mergeCell ref="D12:F12"/>
    <mergeCell ref="D13:F13"/>
    <mergeCell ref="D21:E21"/>
    <mergeCell ref="S21:S22"/>
    <mergeCell ref="A23:A24"/>
    <mergeCell ref="H23:H24"/>
    <mergeCell ref="I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P21:P22"/>
    <mergeCell ref="Q21:Q22"/>
    <mergeCell ref="R21:R22"/>
    <mergeCell ref="F23:F24"/>
    <mergeCell ref="G23:G24"/>
    <mergeCell ref="A25:A26"/>
    <mergeCell ref="H25:H26"/>
    <mergeCell ref="I25:J26"/>
    <mergeCell ref="S25:S26"/>
    <mergeCell ref="S31:S32"/>
    <mergeCell ref="S35:S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H31:H32"/>
    <mergeCell ref="I31:J32"/>
    <mergeCell ref="K31:K32"/>
    <mergeCell ref="L31:L32"/>
    <mergeCell ref="M31:M32"/>
    <mergeCell ref="N31:N32"/>
    <mergeCell ref="F35:F36"/>
    <mergeCell ref="Q41:Q42"/>
    <mergeCell ref="R41:R42"/>
    <mergeCell ref="H43:H44"/>
    <mergeCell ref="I43:J44"/>
    <mergeCell ref="K43:K44"/>
    <mergeCell ref="L43:L44"/>
    <mergeCell ref="M43:M44"/>
    <mergeCell ref="N43:N44"/>
    <mergeCell ref="O43:O44"/>
    <mergeCell ref="P43:P44"/>
    <mergeCell ref="Q43:Q44"/>
    <mergeCell ref="R43:R44"/>
    <mergeCell ref="G35:G36"/>
    <mergeCell ref="F37:F38"/>
    <mergeCell ref="G37:G38"/>
    <mergeCell ref="A51:A52"/>
    <mergeCell ref="O45:O46"/>
    <mergeCell ref="P45:P46"/>
    <mergeCell ref="F45:F46"/>
    <mergeCell ref="G45:G46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F47:F48"/>
    <mergeCell ref="G47:G48"/>
    <mergeCell ref="K45:K46"/>
    <mergeCell ref="L45:L46"/>
    <mergeCell ref="M45:M46"/>
    <mergeCell ref="N45:N46"/>
    <mergeCell ref="A49:A50"/>
    <mergeCell ref="H49:H50"/>
    <mergeCell ref="I49:J50"/>
    <mergeCell ref="N51:N52"/>
    <mergeCell ref="K49:K50"/>
    <mergeCell ref="L49:L50"/>
    <mergeCell ref="M49:M50"/>
    <mergeCell ref="N49:N50"/>
    <mergeCell ref="O49:O50"/>
    <mergeCell ref="P49:P50"/>
    <mergeCell ref="F49:F50"/>
    <mergeCell ref="G49:G50"/>
    <mergeCell ref="L53:L54"/>
    <mergeCell ref="M53:M54"/>
    <mergeCell ref="F51:F52"/>
    <mergeCell ref="G51:G52"/>
    <mergeCell ref="F53:F54"/>
    <mergeCell ref="G53:G54"/>
    <mergeCell ref="H51:H52"/>
    <mergeCell ref="I51:J52"/>
    <mergeCell ref="K51:K52"/>
    <mergeCell ref="L51:L52"/>
    <mergeCell ref="M51:M52"/>
    <mergeCell ref="Q53:Q54"/>
    <mergeCell ref="R53:R54"/>
    <mergeCell ref="S53:S54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N53:N54"/>
    <mergeCell ref="A53:A54"/>
    <mergeCell ref="F55:F56"/>
    <mergeCell ref="G55:G56"/>
    <mergeCell ref="O53:O54"/>
    <mergeCell ref="P53:P54"/>
    <mergeCell ref="H53:H54"/>
    <mergeCell ref="I53:J54"/>
    <mergeCell ref="K53:K54"/>
    <mergeCell ref="N57:N58"/>
    <mergeCell ref="O57:O58"/>
    <mergeCell ref="P57:P58"/>
    <mergeCell ref="Q57:Q58"/>
    <mergeCell ref="R57:R58"/>
    <mergeCell ref="S57:S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A57:A58"/>
    <mergeCell ref="H57:H58"/>
    <mergeCell ref="I57:J58"/>
    <mergeCell ref="K57:K58"/>
    <mergeCell ref="L57:L58"/>
    <mergeCell ref="M57:M58"/>
    <mergeCell ref="F57:F58"/>
    <mergeCell ref="G57:G58"/>
    <mergeCell ref="F59:F60"/>
    <mergeCell ref="A61:A62"/>
    <mergeCell ref="B61:B62"/>
    <mergeCell ref="H61:H62"/>
    <mergeCell ref="I61:J62"/>
    <mergeCell ref="K61:K62"/>
    <mergeCell ref="L61:L62"/>
    <mergeCell ref="M61:M62"/>
    <mergeCell ref="N61:N62"/>
    <mergeCell ref="P63:P64"/>
    <mergeCell ref="C61:G62"/>
    <mergeCell ref="C63:G64"/>
    <mergeCell ref="Q63:Q64"/>
    <mergeCell ref="R63:R64"/>
    <mergeCell ref="S63:S64"/>
    <mergeCell ref="B63:B64"/>
    <mergeCell ref="Q59:Q60"/>
    <mergeCell ref="R59:R60"/>
    <mergeCell ref="S59:S60"/>
    <mergeCell ref="O61:O62"/>
    <mergeCell ref="P61:P62"/>
    <mergeCell ref="Q61:Q62"/>
    <mergeCell ref="R61:R62"/>
    <mergeCell ref="S61:S62"/>
    <mergeCell ref="G59:G60"/>
    <mergeCell ref="M75:O75"/>
    <mergeCell ref="M71:O71"/>
    <mergeCell ref="M73:O73"/>
    <mergeCell ref="A63:A64"/>
    <mergeCell ref="H63:H64"/>
    <mergeCell ref="I63:J64"/>
    <mergeCell ref="K63:K64"/>
    <mergeCell ref="L63:L64"/>
    <mergeCell ref="M63:M64"/>
    <mergeCell ref="N63:N64"/>
    <mergeCell ref="O63:O64"/>
    <mergeCell ref="M66:O66"/>
  </mergeCells>
  <dataValidations count="1">
    <dataValidation type="list" allowBlank="1" showInputMessage="1" showErrorMessage="1" sqref="S23 S25 S27:S60">
      <formula1>$A$77:$A$95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Q294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10.570312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63" t="s">
        <v>136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85" t="s">
        <v>151</v>
      </c>
      <c r="B4" s="2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19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17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18" t="s">
        <v>10</v>
      </c>
      <c r="B14" s="19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7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61" t="s">
        <v>114</v>
      </c>
      <c r="E17" s="361"/>
      <c r="F17" s="361"/>
      <c r="G17" s="67" t="str">
        <f>IF('Site Data'!E13="Yes",1.7/12*F9*B11-G12,"NA")</f>
        <v>NA</v>
      </c>
      <c r="H17" s="49"/>
    </row>
    <row r="18" spans="1:43">
      <c r="B18" s="2"/>
      <c r="C18"/>
      <c r="D18" s="361" t="s">
        <v>117</v>
      </c>
      <c r="E18" s="361"/>
      <c r="F18" s="361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137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376">
        <f>1.7/12*('Site Data'!$H$31*B23+'Site Data'!$H$32*B24+'Site Data'!$H$33*SUM(D23:D24))</f>
        <v>0</v>
      </c>
      <c r="I23" s="336" t="s">
        <v>35</v>
      </c>
      <c r="J23" s="337"/>
      <c r="K23" s="377">
        <v>1</v>
      </c>
      <c r="L23" s="378">
        <f>W67</f>
        <v>0</v>
      </c>
      <c r="M23" s="378">
        <f>H23+L23</f>
        <v>0</v>
      </c>
      <c r="N23" s="379" t="s">
        <v>11</v>
      </c>
      <c r="O23" s="380"/>
      <c r="P23" s="381">
        <f>IF(O23*K23&lt;=M23,O23*K23,M23)</f>
        <v>0</v>
      </c>
      <c r="Q23" s="378">
        <f>M23-P23</f>
        <v>0</v>
      </c>
      <c r="R23" s="379" t="s">
        <v>11</v>
      </c>
      <c r="S23" s="371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137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75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67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70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68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75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70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68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75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70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68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75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70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68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75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70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75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70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75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70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75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70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75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70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75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70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75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70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75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70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75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70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75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70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75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70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75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70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75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70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75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70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71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74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74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74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74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19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84" t="s">
        <v>135</v>
      </c>
      <c r="N66" s="384"/>
      <c r="O66" s="384"/>
      <c r="P66" s="103">
        <f>SUM(P23:P64)</f>
        <v>0</v>
      </c>
      <c r="Q66" s="125"/>
      <c r="R66" s="247"/>
      <c r="S66" s="178" t="s">
        <v>99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52">
        <f>IF(G12-P66&gt;0,G12-P66,0)</f>
        <v>0</v>
      </c>
      <c r="Q68" s="253"/>
      <c r="R68" s="254"/>
      <c r="S68" s="255" t="s">
        <v>169</v>
      </c>
      <c r="T68" s="252">
        <f>IF(P73="Yes",IF(G12*0.5-T66-P66&gt;0,G12*0.5-T66-P66,0),0)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3.7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52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52">
        <f>T68*7.48</f>
        <v>0</v>
      </c>
      <c r="U69" s="25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63.75" customHeight="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52" t="str">
        <f>IF('Site Data'!E13="Yes",IF(G17-T66-IF(P66&gt;G12,P66-G12,0)&gt;0,G17-T66-IF(P66&gt;G12,P66-G12,0),0),"N/A")</f>
        <v>N/A</v>
      </c>
      <c r="U71" s="25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L72" s="251"/>
      <c r="M72" s="366" t="s">
        <v>158</v>
      </c>
      <c r="N72" s="367"/>
      <c r="O72" s="368"/>
      <c r="P72" s="252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52" t="str">
        <f>IF(T71="N/A","N/A",T71*7.48)</f>
        <v>N/A</v>
      </c>
      <c r="U72" s="25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ht="14.25" customHeight="1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ht="12" customHeight="1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6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12" hidden="1" customHeight="1">
      <c r="A76" s="59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" hidden="1" customHeight="1">
      <c r="A77" s="10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2" hidden="1" customHeight="1">
      <c r="A78" s="10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2" hidden="1" customHeight="1">
      <c r="A79" s="105" t="s">
        <v>39</v>
      </c>
      <c r="B79" s="158">
        <f>P27+IF(R27="N/A",0,R27)</f>
        <v>0</v>
      </c>
      <c r="C79" s="45"/>
      <c r="D79" s="158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2" hidden="1" customHeight="1">
      <c r="A80" s="10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" hidden="1" customHeight="1">
      <c r="A81" s="10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" hidden="1" customHeight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" hidden="1" customHeight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" hidden="1" customHeight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" hidden="1" customHeight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 hidden="1" customHeight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 hidden="1" customHeight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 hidden="1" customHeight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52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hidden="1" customHeight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hidden="1" customHeight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hidden="1" customHeight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2.75" hidden="1" customHeight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2.75" hidden="1" customHeight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2.75" hidden="1" customHeight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ht="12.75" customHeight="1">
      <c r="A98" s="36"/>
      <c r="B98" s="250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ht="12.75" customHeight="1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ht="12.75" customHeight="1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>
      <c r="A101" s="52"/>
      <c r="B101" s="26"/>
      <c r="D101" s="26"/>
      <c r="F101" s="109"/>
      <c r="H101" s="52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52"/>
      <c r="B102" s="26"/>
      <c r="D102" s="26"/>
      <c r="F102" s="109"/>
      <c r="G102" s="32"/>
      <c r="H102" s="52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52"/>
      <c r="B103" s="26"/>
      <c r="D103" s="26"/>
      <c r="F103" s="110"/>
      <c r="G103" s="32"/>
      <c r="H103" s="52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52"/>
      <c r="B105" s="26"/>
      <c r="D105" s="26"/>
      <c r="F105" s="109"/>
      <c r="G105" s="32"/>
      <c r="H105" s="52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52"/>
      <c r="B108" s="26"/>
      <c r="D108" s="26"/>
      <c r="F108" s="111"/>
      <c r="G108" s="32"/>
      <c r="H108" s="52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52"/>
      <c r="B109" s="55"/>
      <c r="C109" s="32"/>
      <c r="D109" s="55"/>
      <c r="E109" s="32"/>
      <c r="F109" s="110"/>
      <c r="G109" s="32"/>
      <c r="H109" s="52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52"/>
      <c r="B110" s="55"/>
      <c r="C110" s="32"/>
      <c r="D110" s="55"/>
      <c r="E110" s="32"/>
      <c r="F110" s="110"/>
      <c r="G110" s="32"/>
      <c r="H110" s="52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52"/>
      <c r="B111" s="55"/>
      <c r="C111" s="32"/>
      <c r="D111" s="55"/>
      <c r="E111" s="32"/>
      <c r="F111" s="110"/>
      <c r="G111" s="32"/>
      <c r="H111" s="52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52"/>
      <c r="B112" s="55"/>
      <c r="C112" s="32"/>
      <c r="D112" s="55"/>
      <c r="E112" s="32"/>
      <c r="F112" s="110"/>
      <c r="G112" s="32"/>
      <c r="H112" s="52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>
      <c r="A113" s="52"/>
      <c r="B113" s="55"/>
      <c r="C113" s="32"/>
      <c r="D113" s="55"/>
      <c r="E113" s="32"/>
      <c r="F113" s="110"/>
      <c r="G113" s="32"/>
      <c r="H113" s="52"/>
      <c r="I113" s="32"/>
      <c r="J113" s="113"/>
      <c r="K113" s="113"/>
      <c r="L113" s="32"/>
      <c r="M113" s="113"/>
      <c r="N113" s="110"/>
      <c r="O113" s="113"/>
      <c r="P113" s="113"/>
      <c r="Q113" s="52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52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52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52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52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>
      <c r="A122" s="52"/>
      <c r="B122" s="26"/>
      <c r="C122" s="28"/>
      <c r="D122" s="26"/>
      <c r="E122" s="28"/>
      <c r="F122" s="110"/>
      <c r="G122" s="32"/>
      <c r="H122" s="52"/>
      <c r="I122" s="32"/>
      <c r="J122" s="113"/>
      <c r="K122" s="113"/>
      <c r="L122" s="32"/>
      <c r="M122" s="113"/>
      <c r="N122" s="110"/>
      <c r="O122" s="113"/>
      <c r="P122" s="113"/>
      <c r="Q122" s="52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52"/>
      <c r="B123" s="26"/>
      <c r="C123" s="28"/>
      <c r="D123" s="26"/>
      <c r="E123" s="28"/>
      <c r="F123" s="110"/>
      <c r="G123" s="32"/>
      <c r="H123" s="52"/>
      <c r="I123" s="32"/>
      <c r="J123" s="113"/>
      <c r="K123" s="113"/>
      <c r="L123" s="32"/>
      <c r="M123" s="113"/>
      <c r="N123" s="110"/>
      <c r="O123" s="113"/>
      <c r="P123" s="113"/>
      <c r="Q123" s="52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52"/>
      <c r="B124" s="55"/>
      <c r="C124" s="32"/>
      <c r="D124" s="55"/>
      <c r="E124" s="32"/>
      <c r="F124" s="110"/>
      <c r="G124" s="32"/>
      <c r="H124" s="52"/>
      <c r="I124" s="32"/>
      <c r="J124" s="113"/>
      <c r="K124" s="113"/>
      <c r="L124" s="32"/>
      <c r="M124" s="113"/>
      <c r="N124" s="110"/>
      <c r="O124" s="113"/>
      <c r="P124" s="113"/>
      <c r="Q124" s="52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52"/>
      <c r="B127" s="55"/>
      <c r="C127" s="32"/>
      <c r="D127" s="55"/>
      <c r="E127" s="32"/>
      <c r="F127" s="110"/>
      <c r="G127" s="28"/>
      <c r="H127" s="52"/>
      <c r="I127" s="32"/>
      <c r="J127" s="113"/>
      <c r="K127" s="112"/>
      <c r="L127" s="28"/>
      <c r="M127" s="112"/>
      <c r="N127" s="110"/>
      <c r="O127" s="112"/>
      <c r="P127" s="112"/>
      <c r="Q127" s="52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52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52"/>
      <c r="B130" s="55"/>
      <c r="C130" s="32"/>
      <c r="D130" s="55"/>
      <c r="E130" s="32"/>
      <c r="F130" s="110"/>
      <c r="H130" s="52"/>
      <c r="I130" s="32"/>
      <c r="J130" s="113"/>
      <c r="K130" s="112"/>
      <c r="M130" s="112"/>
      <c r="N130" s="110"/>
      <c r="O130" s="112"/>
      <c r="P130" s="112"/>
      <c r="Q130" s="52"/>
      <c r="R130" s="26"/>
      <c r="S130" s="26"/>
    </row>
    <row r="131" spans="1:20" s="28" customFormat="1">
      <c r="A131" s="52"/>
      <c r="B131" s="55"/>
      <c r="C131" s="32"/>
      <c r="D131" s="55"/>
      <c r="E131" s="32"/>
      <c r="F131" s="110"/>
      <c r="H131" s="52"/>
      <c r="I131" s="32"/>
      <c r="J131" s="113"/>
      <c r="K131" s="112"/>
      <c r="M131" s="112"/>
      <c r="N131" s="110"/>
      <c r="O131" s="112"/>
      <c r="P131" s="112"/>
      <c r="Q131" s="52"/>
      <c r="R131" s="23"/>
      <c r="S131" s="23"/>
    </row>
    <row r="132" spans="1:20" s="28" customFormat="1">
      <c r="A132" s="52"/>
      <c r="B132" s="55"/>
      <c r="C132" s="32"/>
      <c r="D132" s="55"/>
      <c r="E132" s="32"/>
      <c r="F132" s="110"/>
      <c r="H132" s="52"/>
      <c r="J132" s="112"/>
      <c r="K132" s="112"/>
      <c r="M132" s="112"/>
      <c r="N132" s="110"/>
      <c r="O132" s="112"/>
      <c r="P132" s="112"/>
      <c r="Q132" s="52"/>
      <c r="R132" s="23"/>
      <c r="S132" s="23"/>
    </row>
    <row r="133" spans="1:20" s="28" customFormat="1">
      <c r="A133" s="52"/>
      <c r="B133" s="55"/>
      <c r="C133" s="32"/>
      <c r="D133" s="55"/>
      <c r="E133" s="32"/>
      <c r="F133" s="110"/>
      <c r="H133" s="52"/>
      <c r="J133" s="112"/>
      <c r="K133" s="112"/>
      <c r="M133" s="112"/>
      <c r="N133" s="110"/>
      <c r="O133" s="112"/>
      <c r="P133" s="112"/>
      <c r="Q133" s="52"/>
      <c r="R133" s="26"/>
      <c r="S133" s="26"/>
    </row>
    <row r="134" spans="1:20" s="28" customFormat="1">
      <c r="A134" s="52"/>
      <c r="B134" s="55"/>
      <c r="C134" s="32"/>
      <c r="D134" s="55"/>
      <c r="E134" s="32"/>
      <c r="F134" s="110"/>
      <c r="H134" s="52"/>
      <c r="J134" s="112"/>
      <c r="K134" s="112"/>
      <c r="M134" s="112"/>
      <c r="N134" s="110"/>
      <c r="O134" s="112"/>
      <c r="P134" s="112"/>
      <c r="Q134" s="52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57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57"/>
      <c r="S147" s="212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57"/>
      <c r="S148" s="212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57"/>
      <c r="S149" s="212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57"/>
      <c r="S150" s="212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57"/>
      <c r="S151" s="212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57"/>
      <c r="S152" s="212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57"/>
      <c r="S153" s="212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M72:O72"/>
    <mergeCell ref="C63:G64"/>
    <mergeCell ref="G55:G56"/>
    <mergeCell ref="G57:G58"/>
    <mergeCell ref="G59:G60"/>
    <mergeCell ref="D12:F12"/>
    <mergeCell ref="D13:F13"/>
    <mergeCell ref="D14:F14"/>
    <mergeCell ref="D17:F17"/>
    <mergeCell ref="D18:F18"/>
    <mergeCell ref="C61:G62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G37:G38"/>
    <mergeCell ref="T21:T22"/>
    <mergeCell ref="F21:G21"/>
    <mergeCell ref="G23:G24"/>
    <mergeCell ref="G25:G26"/>
    <mergeCell ref="G27:G28"/>
    <mergeCell ref="G29:G30"/>
    <mergeCell ref="G31:G32"/>
    <mergeCell ref="G33:G34"/>
    <mergeCell ref="G35:G36"/>
    <mergeCell ref="F23:F24"/>
    <mergeCell ref="F25:F26"/>
    <mergeCell ref="F27:F28"/>
    <mergeCell ref="F29:F30"/>
    <mergeCell ref="F31:F32"/>
    <mergeCell ref="F33:F34"/>
    <mergeCell ref="F35:F36"/>
    <mergeCell ref="H25:H26"/>
    <mergeCell ref="I25:J26"/>
    <mergeCell ref="I23:J24"/>
    <mergeCell ref="R23:R24"/>
    <mergeCell ref="Q27:Q28"/>
    <mergeCell ref="R27:R28"/>
    <mergeCell ref="S27:S28"/>
    <mergeCell ref="H29:H30"/>
    <mergeCell ref="T39:T40"/>
    <mergeCell ref="T37:T38"/>
    <mergeCell ref="T23:T24"/>
    <mergeCell ref="T25:T26"/>
    <mergeCell ref="T27:T28"/>
    <mergeCell ref="T29:T30"/>
    <mergeCell ref="T31:T32"/>
    <mergeCell ref="T33:T34"/>
    <mergeCell ref="T35:T36"/>
    <mergeCell ref="T41:T42"/>
    <mergeCell ref="T43:T44"/>
    <mergeCell ref="T45:T46"/>
    <mergeCell ref="T47:T48"/>
    <mergeCell ref="T49:T50"/>
    <mergeCell ref="T51:T52"/>
    <mergeCell ref="T53:T54"/>
    <mergeCell ref="T55:T56"/>
    <mergeCell ref="T57:T58"/>
    <mergeCell ref="T59:T60"/>
    <mergeCell ref="T61:T62"/>
    <mergeCell ref="T63:T64"/>
    <mergeCell ref="Q69:R69"/>
    <mergeCell ref="S25:S26"/>
    <mergeCell ref="A1:H1"/>
    <mergeCell ref="A21:A22"/>
    <mergeCell ref="H21:H22"/>
    <mergeCell ref="I21:J22"/>
    <mergeCell ref="B21:C21"/>
    <mergeCell ref="G39:G40"/>
    <mergeCell ref="G41:G42"/>
    <mergeCell ref="G43:G44"/>
    <mergeCell ref="G45:G46"/>
    <mergeCell ref="G47:G48"/>
    <mergeCell ref="G49:G50"/>
    <mergeCell ref="G51:G52"/>
    <mergeCell ref="G53:G54"/>
    <mergeCell ref="A25:A26"/>
    <mergeCell ref="K25:K26"/>
    <mergeCell ref="L25:L26"/>
    <mergeCell ref="M25:M26"/>
    <mergeCell ref="N25:N26"/>
    <mergeCell ref="O25:O26"/>
    <mergeCell ref="M71:O71"/>
    <mergeCell ref="M69:O69"/>
    <mergeCell ref="M68:O68"/>
    <mergeCell ref="M66:O66"/>
    <mergeCell ref="O63:O64"/>
    <mergeCell ref="I61:J62"/>
    <mergeCell ref="K61:K62"/>
    <mergeCell ref="L61:L62"/>
    <mergeCell ref="M61:M62"/>
    <mergeCell ref="N61:N62"/>
    <mergeCell ref="O61:O62"/>
    <mergeCell ref="M73:O73"/>
    <mergeCell ref="D21:E21"/>
    <mergeCell ref="R21:R22"/>
    <mergeCell ref="A4:B4"/>
    <mergeCell ref="S21:S22"/>
    <mergeCell ref="N21:N22"/>
    <mergeCell ref="M21:M22"/>
    <mergeCell ref="O21:O22"/>
    <mergeCell ref="P21:P22"/>
    <mergeCell ref="Q21:Q22"/>
    <mergeCell ref="K21:K22"/>
    <mergeCell ref="L21:L22"/>
    <mergeCell ref="Q31:Q32"/>
    <mergeCell ref="Q35:Q36"/>
    <mergeCell ref="Q39:Q40"/>
    <mergeCell ref="Q43:Q44"/>
    <mergeCell ref="Q47:Q48"/>
    <mergeCell ref="Q51:Q52"/>
    <mergeCell ref="R31:R32"/>
    <mergeCell ref="R35:R36"/>
    <mergeCell ref="R39:R40"/>
    <mergeCell ref="R43:R44"/>
    <mergeCell ref="R47:R48"/>
    <mergeCell ref="S23:S24"/>
    <mergeCell ref="P25:P26"/>
    <mergeCell ref="Q25:Q26"/>
    <mergeCell ref="R25:R26"/>
    <mergeCell ref="A23:A24"/>
    <mergeCell ref="H23:H24"/>
    <mergeCell ref="K23:K24"/>
    <mergeCell ref="L23:L24"/>
    <mergeCell ref="M23:M24"/>
    <mergeCell ref="N23:N24"/>
    <mergeCell ref="O23:O24"/>
    <mergeCell ref="P23:P24"/>
    <mergeCell ref="Q23:Q24"/>
    <mergeCell ref="R29:R30"/>
    <mergeCell ref="S29:S30"/>
    <mergeCell ref="A27:A28"/>
    <mergeCell ref="I27:J28"/>
    <mergeCell ref="K27:K28"/>
    <mergeCell ref="L27:L28"/>
    <mergeCell ref="M27:M28"/>
    <mergeCell ref="N27:N28"/>
    <mergeCell ref="O27:O28"/>
    <mergeCell ref="P27:P28"/>
    <mergeCell ref="H27:H28"/>
    <mergeCell ref="A29:A30"/>
    <mergeCell ref="I29:J30"/>
    <mergeCell ref="K29:K30"/>
    <mergeCell ref="L29:L30"/>
    <mergeCell ref="M29:M30"/>
    <mergeCell ref="N29:N30"/>
    <mergeCell ref="O29:O30"/>
    <mergeCell ref="P29:P30"/>
    <mergeCell ref="Q29:Q30"/>
    <mergeCell ref="S31:S32"/>
    <mergeCell ref="H33:H34"/>
    <mergeCell ref="A33:A34"/>
    <mergeCell ref="I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H31:H32"/>
    <mergeCell ref="A31:A32"/>
    <mergeCell ref="I31:J32"/>
    <mergeCell ref="K31:K32"/>
    <mergeCell ref="L31:L32"/>
    <mergeCell ref="M31:M32"/>
    <mergeCell ref="N31:N32"/>
    <mergeCell ref="O31:O32"/>
    <mergeCell ref="P31:P32"/>
    <mergeCell ref="S35:S36"/>
    <mergeCell ref="H37:H38"/>
    <mergeCell ref="A37:A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H35:H36"/>
    <mergeCell ref="A35:A36"/>
    <mergeCell ref="I35:J36"/>
    <mergeCell ref="K35:K36"/>
    <mergeCell ref="L35:L36"/>
    <mergeCell ref="M35:M36"/>
    <mergeCell ref="N35:N36"/>
    <mergeCell ref="O35:O36"/>
    <mergeCell ref="P35:P36"/>
    <mergeCell ref="S39:S40"/>
    <mergeCell ref="H41:H42"/>
    <mergeCell ref="A41:A42"/>
    <mergeCell ref="I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H39:H40"/>
    <mergeCell ref="A39:A40"/>
    <mergeCell ref="I39:J40"/>
    <mergeCell ref="K39:K40"/>
    <mergeCell ref="L39:L40"/>
    <mergeCell ref="M39:M40"/>
    <mergeCell ref="N39:N40"/>
    <mergeCell ref="O39:O40"/>
    <mergeCell ref="P39:P40"/>
    <mergeCell ref="S43:S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H43:H44"/>
    <mergeCell ref="A43:A44"/>
    <mergeCell ref="I43:J44"/>
    <mergeCell ref="K43:K44"/>
    <mergeCell ref="L43:L44"/>
    <mergeCell ref="M43:M44"/>
    <mergeCell ref="N43:N44"/>
    <mergeCell ref="O43:O44"/>
    <mergeCell ref="P43:P44"/>
    <mergeCell ref="S47:S48"/>
    <mergeCell ref="A49:A50"/>
    <mergeCell ref="H49:H50"/>
    <mergeCell ref="I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S51:S52"/>
    <mergeCell ref="A53:A54"/>
    <mergeCell ref="H53:H54"/>
    <mergeCell ref="I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R51:R52"/>
    <mergeCell ref="S55:S56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K59:K60"/>
    <mergeCell ref="L59:L60"/>
    <mergeCell ref="M59:M60"/>
    <mergeCell ref="N59:N60"/>
    <mergeCell ref="O59:O60"/>
    <mergeCell ref="P59:P60"/>
    <mergeCell ref="Q59:Q60"/>
    <mergeCell ref="R59:R60"/>
    <mergeCell ref="Q55:Q56"/>
    <mergeCell ref="R55:R56"/>
    <mergeCell ref="M75:O75"/>
    <mergeCell ref="S59:S60"/>
    <mergeCell ref="A61:A62"/>
    <mergeCell ref="B61:B62"/>
    <mergeCell ref="H61:H62"/>
    <mergeCell ref="S61:S62"/>
    <mergeCell ref="P63:P64"/>
    <mergeCell ref="Q63:Q64"/>
    <mergeCell ref="R63:R64"/>
    <mergeCell ref="S63:S64"/>
    <mergeCell ref="A63:A64"/>
    <mergeCell ref="B63:B64"/>
    <mergeCell ref="H63:H64"/>
    <mergeCell ref="I63:J64"/>
    <mergeCell ref="K63:K64"/>
    <mergeCell ref="L63:L64"/>
    <mergeCell ref="M63:M64"/>
    <mergeCell ref="N63:N64"/>
    <mergeCell ref="P61:P62"/>
    <mergeCell ref="Q61:Q62"/>
    <mergeCell ref="R61:R62"/>
    <mergeCell ref="H59:H60"/>
    <mergeCell ref="A59:A60"/>
    <mergeCell ref="I59:J60"/>
  </mergeCells>
  <phoneticPr fontId="2" type="noConversion"/>
  <dataValidations count="1">
    <dataValidation type="list" allowBlank="1" showInputMessage="1" showErrorMessage="1" sqref="S23 S27:S60 S25">
      <formula1>$A$77:$A$95</formula1>
    </dataValidation>
  </dataValidations>
  <printOptions gridLines="1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Q294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38" t="s">
        <v>137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390" t="s">
        <v>152</v>
      </c>
      <c r="B4" s="390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42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16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91" t="s">
        <v>52</v>
      </c>
      <c r="E12" s="392"/>
      <c r="F12" s="393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41" t="s">
        <v>12</v>
      </c>
      <c r="B13" s="14"/>
      <c r="C13"/>
      <c r="D13" s="391" t="s">
        <v>86</v>
      </c>
      <c r="E13" s="392"/>
      <c r="F13" s="393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40" t="s">
        <v>10</v>
      </c>
      <c r="B14" s="242" t="s">
        <v>20</v>
      </c>
      <c r="C14"/>
      <c r="D14" s="391" t="s">
        <v>159</v>
      </c>
      <c r="E14" s="392"/>
      <c r="F14" s="393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91" t="s">
        <v>114</v>
      </c>
      <c r="E17" s="392"/>
      <c r="F17" s="393"/>
      <c r="G17" s="67" t="str">
        <f>IF('Site Data'!E13="Yes",1.7/12*F9*B11-G12,"NA")</f>
        <v>NA</v>
      </c>
      <c r="H17" s="49"/>
    </row>
    <row r="18" spans="1:43">
      <c r="B18" s="2"/>
      <c r="C18"/>
      <c r="D18" s="391" t="s">
        <v>117</v>
      </c>
      <c r="E18" s="392"/>
      <c r="F18" s="393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266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296">
        <f>1.7/12*('Site Data'!$H$31*B23+'Site Data'!$H$32*B24+'Site Data'!$H$33*SUM(D23:D24))</f>
        <v>0</v>
      </c>
      <c r="I23" s="336" t="s">
        <v>35</v>
      </c>
      <c r="J23" s="337"/>
      <c r="K23" s="302">
        <v>1</v>
      </c>
      <c r="L23" s="304">
        <f>W67</f>
        <v>0</v>
      </c>
      <c r="M23" s="304">
        <f>H23+L23</f>
        <v>0</v>
      </c>
      <c r="N23" s="306" t="s">
        <v>11</v>
      </c>
      <c r="O23" s="327"/>
      <c r="P23" s="381">
        <f>IF(O23*K23&lt;=M23,O23*K23,M23)</f>
        <v>0</v>
      </c>
      <c r="Q23" s="304">
        <f>M23-P23</f>
        <v>0</v>
      </c>
      <c r="R23" s="306" t="s">
        <v>11</v>
      </c>
      <c r="S23" s="387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266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89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14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87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15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89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14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87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15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89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14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87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15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89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14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87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15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89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87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89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87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89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87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89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87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89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87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89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87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89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87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89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87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89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87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89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87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89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87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89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87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89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87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89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87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88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85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86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85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86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4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08" t="s">
        <v>135</v>
      </c>
      <c r="N66" s="309"/>
      <c r="O66" s="310"/>
      <c r="P66" s="103">
        <f>SUM(P23:P64)</f>
        <v>0</v>
      </c>
      <c r="Q66" s="125"/>
      <c r="R66" s="247"/>
      <c r="S66" s="178" t="s">
        <v>99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6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52">
        <f>IF(G12-P66&gt;0,G12-P66,0)</f>
        <v>0</v>
      </c>
      <c r="Q68" s="253"/>
      <c r="R68" s="254"/>
      <c r="S68" s="255" t="s">
        <v>169</v>
      </c>
      <c r="T68" s="252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52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62">
        <f>T68*7.48</f>
        <v>0</v>
      </c>
      <c r="U69" s="26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62" t="str">
        <f>IF('Site Data'!E13="Yes",IF(G17-T66-IF(P66&gt;G12,P66-G12,0)&gt;0,G17-T66-IF(P66&gt;G12,P66-G12,0),0),"N/A")</f>
        <v>N/A</v>
      </c>
      <c r="U71" s="26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 customHeight="1">
      <c r="B72" s="158"/>
      <c r="C72" s="45"/>
      <c r="D72" s="158"/>
      <c r="E72" s="45"/>
      <c r="F72" s="45"/>
      <c r="G72" s="45"/>
      <c r="H72" s="107"/>
      <c r="J72" s="27"/>
      <c r="K72" s="27"/>
      <c r="M72" s="366" t="s">
        <v>158</v>
      </c>
      <c r="N72" s="367"/>
      <c r="O72" s="368"/>
      <c r="P72" s="262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62" t="str">
        <f>IF(T71="N/A","N/A",T71*7.48)</f>
        <v>N/A</v>
      </c>
      <c r="U72" s="26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 ht="12" customHeight="1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 ht="12" customHeight="1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5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12" hidden="1" customHeight="1">
      <c r="A76" s="190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t="12" hidden="1" customHeight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t="12" hidden="1" customHeight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t="12" hidden="1" customHeight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" hidden="1" customHeight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" hidden="1" customHeight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" hidden="1" customHeight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" hidden="1" customHeight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" hidden="1" customHeight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 hidden="1" customHeight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 hidden="1" customHeight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 hidden="1" customHeight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hidden="1" customHeight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hidden="1" customHeight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hidden="1" customHeight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t="12.75" hidden="1" customHeight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t="12.75" hidden="1" customHeight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t="12.75" hidden="1" customHeight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 ht="12.75" customHeight="1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 ht="12.75" customHeight="1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 ht="12.75" customHeight="1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3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39"/>
      <c r="S147" s="23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39"/>
      <c r="S148" s="23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39"/>
      <c r="S149" s="23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39"/>
      <c r="S150" s="23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39"/>
      <c r="S151" s="23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39"/>
      <c r="S152" s="23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39"/>
      <c r="S153" s="23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T57:T58"/>
    <mergeCell ref="T59:T60"/>
    <mergeCell ref="T61:T62"/>
    <mergeCell ref="T63:T64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S45:S46"/>
    <mergeCell ref="Q47:Q48"/>
    <mergeCell ref="R47:R48"/>
    <mergeCell ref="S47:S48"/>
    <mergeCell ref="M53:M54"/>
    <mergeCell ref="N53:N54"/>
    <mergeCell ref="O53:O54"/>
    <mergeCell ref="P53:P54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M45:M46"/>
    <mergeCell ref="N45:N46"/>
    <mergeCell ref="O45:O46"/>
    <mergeCell ref="P45:P46"/>
    <mergeCell ref="Q41:Q42"/>
    <mergeCell ref="R41:R42"/>
    <mergeCell ref="S41:S42"/>
    <mergeCell ref="Q43:Q44"/>
    <mergeCell ref="Q69:R69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M66:O66"/>
    <mergeCell ref="M68:O68"/>
    <mergeCell ref="M69:O69"/>
    <mergeCell ref="Q27:Q28"/>
    <mergeCell ref="A29:A30"/>
    <mergeCell ref="L21:L22"/>
    <mergeCell ref="M21:M22"/>
    <mergeCell ref="N21:N22"/>
    <mergeCell ref="R43:R44"/>
    <mergeCell ref="S43:S44"/>
    <mergeCell ref="Q45:Q46"/>
    <mergeCell ref="R45:R46"/>
    <mergeCell ref="Q37:Q38"/>
    <mergeCell ref="R37:R38"/>
    <mergeCell ref="S37:S38"/>
    <mergeCell ref="Q39:Q40"/>
    <mergeCell ref="R39:R40"/>
    <mergeCell ref="S39:S40"/>
    <mergeCell ref="Q33:Q34"/>
    <mergeCell ref="R33:R34"/>
    <mergeCell ref="S33:S34"/>
    <mergeCell ref="Q35:Q36"/>
    <mergeCell ref="R29:R30"/>
    <mergeCell ref="S29:S30"/>
    <mergeCell ref="Q31:Q32"/>
    <mergeCell ref="R31:R32"/>
    <mergeCell ref="S31:S32"/>
    <mergeCell ref="R35:R36"/>
    <mergeCell ref="A1:H1"/>
    <mergeCell ref="A4:B4"/>
    <mergeCell ref="A21:A22"/>
    <mergeCell ref="B21:C21"/>
    <mergeCell ref="D21:E21"/>
    <mergeCell ref="H21:H22"/>
    <mergeCell ref="I21:J22"/>
    <mergeCell ref="F21:G21"/>
    <mergeCell ref="K21:K22"/>
    <mergeCell ref="D12:F12"/>
    <mergeCell ref="D13:F13"/>
    <mergeCell ref="D14:F14"/>
    <mergeCell ref="D17:F17"/>
    <mergeCell ref="D18:F18"/>
    <mergeCell ref="S35:S36"/>
    <mergeCell ref="S25:S26"/>
    <mergeCell ref="A27:A28"/>
    <mergeCell ref="H27:H28"/>
    <mergeCell ref="I27:J28"/>
    <mergeCell ref="K27:K28"/>
    <mergeCell ref="L27:L28"/>
    <mergeCell ref="M27:M28"/>
    <mergeCell ref="N27:N28"/>
    <mergeCell ref="O27:O28"/>
    <mergeCell ref="P27:P28"/>
    <mergeCell ref="R27:R28"/>
    <mergeCell ref="S27:S28"/>
    <mergeCell ref="I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5:A26"/>
    <mergeCell ref="H25:H26"/>
    <mergeCell ref="O21:O22"/>
    <mergeCell ref="P21:P22"/>
    <mergeCell ref="Q21:Q22"/>
    <mergeCell ref="R21:R22"/>
    <mergeCell ref="S21:S22"/>
    <mergeCell ref="A23:A24"/>
    <mergeCell ref="H23:H24"/>
    <mergeCell ref="I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H29:H30"/>
    <mergeCell ref="I29:J30"/>
    <mergeCell ref="K29:K30"/>
    <mergeCell ref="L29:L30"/>
    <mergeCell ref="M29:M30"/>
    <mergeCell ref="N29:N30"/>
    <mergeCell ref="O29:O30"/>
    <mergeCell ref="P29:P30"/>
    <mergeCell ref="Q29:Q30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K43:K44"/>
    <mergeCell ref="L43:L44"/>
    <mergeCell ref="M43:M44"/>
    <mergeCell ref="N43:N44"/>
    <mergeCell ref="O43:O44"/>
    <mergeCell ref="P43:P44"/>
    <mergeCell ref="A39:A40"/>
    <mergeCell ref="H39:H40"/>
    <mergeCell ref="I39:J40"/>
    <mergeCell ref="K39:K40"/>
    <mergeCell ref="L39:L40"/>
    <mergeCell ref="M39:M40"/>
    <mergeCell ref="N39:N40"/>
    <mergeCell ref="O39:O40"/>
    <mergeCell ref="P39:P40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A45:A46"/>
    <mergeCell ref="H45:H46"/>
    <mergeCell ref="I45:J46"/>
    <mergeCell ref="K45:K46"/>
    <mergeCell ref="L45:L46"/>
    <mergeCell ref="A43:A44"/>
    <mergeCell ref="Q49:Q50"/>
    <mergeCell ref="R49:R50"/>
    <mergeCell ref="S49:S50"/>
    <mergeCell ref="M49:M50"/>
    <mergeCell ref="N49:N50"/>
    <mergeCell ref="O49:O50"/>
    <mergeCell ref="P49:P50"/>
    <mergeCell ref="A47:A48"/>
    <mergeCell ref="H47:H48"/>
    <mergeCell ref="I47:J48"/>
    <mergeCell ref="K47:K48"/>
    <mergeCell ref="L47:L48"/>
    <mergeCell ref="M47:M48"/>
    <mergeCell ref="N47:N48"/>
    <mergeCell ref="O47:O48"/>
    <mergeCell ref="P47:P48"/>
    <mergeCell ref="H43:H44"/>
    <mergeCell ref="I43:J44"/>
    <mergeCell ref="Q51:Q52"/>
    <mergeCell ref="R51:R52"/>
    <mergeCell ref="S51:S52"/>
    <mergeCell ref="A49:A50"/>
    <mergeCell ref="H49:H50"/>
    <mergeCell ref="I49:J50"/>
    <mergeCell ref="K49:K50"/>
    <mergeCell ref="L49:L50"/>
    <mergeCell ref="Q53:Q54"/>
    <mergeCell ref="R53:R54"/>
    <mergeCell ref="S53:S54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Q55:Q56"/>
    <mergeCell ref="R55:R56"/>
    <mergeCell ref="S55:S56"/>
    <mergeCell ref="A53:A54"/>
    <mergeCell ref="H53:H54"/>
    <mergeCell ref="I53:J54"/>
    <mergeCell ref="K53:K54"/>
    <mergeCell ref="L53:L54"/>
    <mergeCell ref="Q57:Q58"/>
    <mergeCell ref="R57:R58"/>
    <mergeCell ref="S57:S58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Q59:Q60"/>
    <mergeCell ref="R59:R60"/>
    <mergeCell ref="S59:S60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P61:P62"/>
    <mergeCell ref="Q61:Q62"/>
    <mergeCell ref="R61:R62"/>
    <mergeCell ref="S61:S62"/>
    <mergeCell ref="O63:O64"/>
    <mergeCell ref="P63:P64"/>
    <mergeCell ref="Q63:Q64"/>
    <mergeCell ref="R63:R64"/>
    <mergeCell ref="S63:S64"/>
    <mergeCell ref="M75:O75"/>
    <mergeCell ref="L63:L64"/>
    <mergeCell ref="M63:M64"/>
    <mergeCell ref="N63:N64"/>
    <mergeCell ref="A61:A62"/>
    <mergeCell ref="B61:B62"/>
    <mergeCell ref="H61:H62"/>
    <mergeCell ref="I61:J62"/>
    <mergeCell ref="A63:A64"/>
    <mergeCell ref="B63:B64"/>
    <mergeCell ref="H63:H64"/>
    <mergeCell ref="I63:J64"/>
    <mergeCell ref="K63:K64"/>
    <mergeCell ref="K61:K62"/>
    <mergeCell ref="L61:L62"/>
    <mergeCell ref="M61:M62"/>
    <mergeCell ref="N61:N62"/>
    <mergeCell ref="O61:O62"/>
    <mergeCell ref="M71:O71"/>
    <mergeCell ref="M73:O73"/>
    <mergeCell ref="M72:O72"/>
    <mergeCell ref="C61:G62"/>
    <mergeCell ref="C63:G64"/>
  </mergeCells>
  <phoneticPr fontId="2" type="noConversion"/>
  <dataValidations disablePrompts="1" count="1">
    <dataValidation type="list" allowBlank="1" showInputMessage="1" showErrorMessage="1" sqref="S23 S27:S60 S25">
      <formula1>$A$77:$A$95</formula1>
    </dataValidation>
  </dataValidations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Q294"/>
  <sheetViews>
    <sheetView zoomScaleNormal="100" zoomScalePageLayoutView="85"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38" t="s">
        <v>138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85" t="s">
        <v>153</v>
      </c>
      <c r="B4" s="2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42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23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41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40" t="s">
        <v>10</v>
      </c>
      <c r="B14" s="242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61" t="s">
        <v>114</v>
      </c>
      <c r="E17" s="361"/>
      <c r="F17" s="361"/>
      <c r="G17" s="67" t="str">
        <f>IF('Site Data'!E13="Yes",1.7/12*F9*B11-G12,"NA")</f>
        <v>NA</v>
      </c>
      <c r="H17" s="49"/>
    </row>
    <row r="18" spans="1:43">
      <c r="B18" s="2"/>
      <c r="C18"/>
      <c r="D18" s="361" t="s">
        <v>117</v>
      </c>
      <c r="E18" s="361"/>
      <c r="F18" s="361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137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376">
        <f>1.7/12*('Site Data'!$H$31*B23+'Site Data'!$H$32*B24+'Site Data'!$H$33*SUM(D23:D24))</f>
        <v>0</v>
      </c>
      <c r="I23" s="336" t="s">
        <v>35</v>
      </c>
      <c r="J23" s="337"/>
      <c r="K23" s="377">
        <v>1</v>
      </c>
      <c r="L23" s="378">
        <f>W67</f>
        <v>0</v>
      </c>
      <c r="M23" s="378">
        <f>H23+L23</f>
        <v>0</v>
      </c>
      <c r="N23" s="379" t="s">
        <v>11</v>
      </c>
      <c r="O23" s="380"/>
      <c r="P23" s="381">
        <f>IF(O23*K23&lt;=M23,O23*K23,M23)</f>
        <v>0</v>
      </c>
      <c r="Q23" s="378">
        <f>M23-P23</f>
        <v>0</v>
      </c>
      <c r="R23" s="379" t="s">
        <v>11</v>
      </c>
      <c r="S23" s="371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137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75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67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70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68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75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70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68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75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70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68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75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70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68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75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70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75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70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75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70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75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70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75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70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75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70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75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70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75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70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75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70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75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70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75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70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75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70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75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70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75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70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71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74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74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74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74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4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84" t="s">
        <v>135</v>
      </c>
      <c r="N66" s="384"/>
      <c r="O66" s="384"/>
      <c r="P66" s="103">
        <f>SUM(P23:P64)</f>
        <v>0</v>
      </c>
      <c r="Q66" s="125"/>
      <c r="R66" s="247"/>
      <c r="S66" s="178" t="s">
        <v>99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52">
        <f>IF(G12-P66&gt;0,G12-P66,0)</f>
        <v>0</v>
      </c>
      <c r="Q68" s="253"/>
      <c r="R68" s="254"/>
      <c r="S68" s="255" t="s">
        <v>169</v>
      </c>
      <c r="T68" s="252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52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62">
        <f>T68*7.48</f>
        <v>0</v>
      </c>
      <c r="U69" s="26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62" t="str">
        <f>IF('Site Data'!E13="Yes",IF(G17-T66-IF(P66&gt;G12,P66-G12,0)&gt;0,G17-T66-IF(P66&gt;G12,P66-G12,0),0),"N/A")</f>
        <v>N/A</v>
      </c>
      <c r="U71" s="26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M72" s="366" t="s">
        <v>158</v>
      </c>
      <c r="N72" s="367"/>
      <c r="O72" s="368"/>
      <c r="P72" s="262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62" t="str">
        <f>IF(T71="N/A","N/A",T71*7.48)</f>
        <v>N/A</v>
      </c>
      <c r="U72" s="26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6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3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39"/>
      <c r="S147" s="23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39"/>
      <c r="S148" s="23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39"/>
      <c r="S149" s="23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39"/>
      <c r="S150" s="23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39"/>
      <c r="S151" s="23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39"/>
      <c r="S152" s="23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39"/>
      <c r="S153" s="23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09" spans="2:40" ht="12.75" customHeight="1"/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Q69:R69"/>
    <mergeCell ref="Q23:Q24"/>
    <mergeCell ref="R23:R24"/>
    <mergeCell ref="S23:S24"/>
    <mergeCell ref="Q25:Q26"/>
    <mergeCell ref="R25:R26"/>
    <mergeCell ref="P61:P62"/>
    <mergeCell ref="Q61:Q62"/>
    <mergeCell ref="R61:R62"/>
    <mergeCell ref="Q33:Q34"/>
    <mergeCell ref="R33:R34"/>
    <mergeCell ref="S33:S34"/>
    <mergeCell ref="R35:R36"/>
    <mergeCell ref="S35:S36"/>
    <mergeCell ref="Q37:Q38"/>
    <mergeCell ref="P39:P40"/>
    <mergeCell ref="Q43:Q44"/>
    <mergeCell ref="Q35:Q36"/>
    <mergeCell ref="Q39:Q40"/>
    <mergeCell ref="Q31:Q32"/>
    <mergeCell ref="R31:R32"/>
    <mergeCell ref="S31:S32"/>
    <mergeCell ref="Q47:Q48"/>
    <mergeCell ref="R47:R48"/>
    <mergeCell ref="M72:O72"/>
    <mergeCell ref="T57:T58"/>
    <mergeCell ref="T59:T60"/>
    <mergeCell ref="T61:T62"/>
    <mergeCell ref="T63:T64"/>
    <mergeCell ref="T35:T36"/>
    <mergeCell ref="T37:T38"/>
    <mergeCell ref="Q29:Q30"/>
    <mergeCell ref="R29:R30"/>
    <mergeCell ref="S29:S30"/>
    <mergeCell ref="T29:T30"/>
    <mergeCell ref="T31:T32"/>
    <mergeCell ref="T33:T34"/>
    <mergeCell ref="R37:R38"/>
    <mergeCell ref="S37:S38"/>
    <mergeCell ref="R39:R40"/>
    <mergeCell ref="S39:S40"/>
    <mergeCell ref="Q41:Q42"/>
    <mergeCell ref="R41:R42"/>
    <mergeCell ref="S41:S42"/>
    <mergeCell ref="S43:S44"/>
    <mergeCell ref="Q45:Q46"/>
    <mergeCell ref="R45:R46"/>
    <mergeCell ref="S45:S46"/>
    <mergeCell ref="K27:K28"/>
    <mergeCell ref="L27:L28"/>
    <mergeCell ref="M27:M28"/>
    <mergeCell ref="N27:N28"/>
    <mergeCell ref="O27:O28"/>
    <mergeCell ref="P27:P28"/>
    <mergeCell ref="Q27:Q28"/>
    <mergeCell ref="T21:T22"/>
    <mergeCell ref="T23:T24"/>
    <mergeCell ref="T25:T26"/>
    <mergeCell ref="T27:T28"/>
    <mergeCell ref="R21:R22"/>
    <mergeCell ref="S21:S22"/>
    <mergeCell ref="S25:S26"/>
    <mergeCell ref="O23:O24"/>
    <mergeCell ref="P23:P24"/>
    <mergeCell ref="C63:G64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K47:K48"/>
    <mergeCell ref="G39:G40"/>
    <mergeCell ref="G41:G42"/>
    <mergeCell ref="G43:G44"/>
    <mergeCell ref="G45:G46"/>
    <mergeCell ref="A61:A62"/>
    <mergeCell ref="H47:H48"/>
    <mergeCell ref="I47:J48"/>
    <mergeCell ref="H49:H50"/>
    <mergeCell ref="I49:J50"/>
    <mergeCell ref="H51:H52"/>
    <mergeCell ref="I51:J52"/>
    <mergeCell ref="H53:H54"/>
    <mergeCell ref="I53:J54"/>
    <mergeCell ref="H55:H56"/>
    <mergeCell ref="I55:J56"/>
    <mergeCell ref="H57:H58"/>
    <mergeCell ref="I57:J58"/>
    <mergeCell ref="H59:H60"/>
    <mergeCell ref="I59:J60"/>
    <mergeCell ref="G47:G48"/>
    <mergeCell ref="G49:G50"/>
    <mergeCell ref="G51:G52"/>
    <mergeCell ref="G53:G54"/>
    <mergeCell ref="G55:G56"/>
    <mergeCell ref="G57:G58"/>
    <mergeCell ref="G59:G60"/>
    <mergeCell ref="C61:G62"/>
    <mergeCell ref="F59:F60"/>
    <mergeCell ref="A1:H1"/>
    <mergeCell ref="A4:B4"/>
    <mergeCell ref="A47:A48"/>
    <mergeCell ref="A49:A50"/>
    <mergeCell ref="A51:A52"/>
    <mergeCell ref="A53:A54"/>
    <mergeCell ref="A55:A56"/>
    <mergeCell ref="A57:A58"/>
    <mergeCell ref="A59:A60"/>
    <mergeCell ref="A21:A22"/>
    <mergeCell ref="B21:C21"/>
    <mergeCell ref="D21:E21"/>
    <mergeCell ref="H21:H22"/>
    <mergeCell ref="D12:F12"/>
    <mergeCell ref="D13:F13"/>
    <mergeCell ref="D14:F14"/>
    <mergeCell ref="D17:F17"/>
    <mergeCell ref="D18:F18"/>
    <mergeCell ref="G23:G24"/>
    <mergeCell ref="G25:G26"/>
    <mergeCell ref="G27:G28"/>
    <mergeCell ref="G29:G30"/>
    <mergeCell ref="G31:G32"/>
    <mergeCell ref="G33:G34"/>
    <mergeCell ref="I21:J22"/>
    <mergeCell ref="F21:G21"/>
    <mergeCell ref="K21:K22"/>
    <mergeCell ref="L21:L22"/>
    <mergeCell ref="M21:M22"/>
    <mergeCell ref="N21:N22"/>
    <mergeCell ref="O21:O22"/>
    <mergeCell ref="P21:P22"/>
    <mergeCell ref="Q21:Q22"/>
    <mergeCell ref="A23:A24"/>
    <mergeCell ref="H23:H24"/>
    <mergeCell ref="I23:J24"/>
    <mergeCell ref="K23:K24"/>
    <mergeCell ref="L23:L24"/>
    <mergeCell ref="M23:M24"/>
    <mergeCell ref="N23:N24"/>
    <mergeCell ref="R27:R28"/>
    <mergeCell ref="S27:S28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F23:F24"/>
    <mergeCell ref="F25:F26"/>
    <mergeCell ref="F27:F28"/>
    <mergeCell ref="A27:A28"/>
    <mergeCell ref="H27:H28"/>
    <mergeCell ref="I27:J28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F29:F30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F33:F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F31:F32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G35:G36"/>
    <mergeCell ref="F35:F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F37:F38"/>
    <mergeCell ref="G37:G38"/>
    <mergeCell ref="A39:A40"/>
    <mergeCell ref="H39:H40"/>
    <mergeCell ref="I39:J40"/>
    <mergeCell ref="K39:K40"/>
    <mergeCell ref="L39:L40"/>
    <mergeCell ref="M39:M40"/>
    <mergeCell ref="N39:N40"/>
    <mergeCell ref="F39:F40"/>
    <mergeCell ref="R43:R44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O39:O40"/>
    <mergeCell ref="A43:A44"/>
    <mergeCell ref="H43:H44"/>
    <mergeCell ref="I43:J44"/>
    <mergeCell ref="K43:K44"/>
    <mergeCell ref="L43:L44"/>
    <mergeCell ref="M43:M44"/>
    <mergeCell ref="N43:N44"/>
    <mergeCell ref="O43:O44"/>
    <mergeCell ref="P43:P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S47:S48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L47:L48"/>
    <mergeCell ref="M47:M48"/>
    <mergeCell ref="N47:N48"/>
    <mergeCell ref="O47:O48"/>
    <mergeCell ref="P47:P48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P59:P60"/>
    <mergeCell ref="Q59:Q60"/>
    <mergeCell ref="R59:R60"/>
    <mergeCell ref="S59:S60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L61:L62"/>
    <mergeCell ref="M61:M62"/>
    <mergeCell ref="N61:N62"/>
    <mergeCell ref="O61:O62"/>
    <mergeCell ref="K59:K60"/>
    <mergeCell ref="L59:L60"/>
    <mergeCell ref="M59:M60"/>
    <mergeCell ref="N59:N60"/>
    <mergeCell ref="O59:O60"/>
    <mergeCell ref="M75:O75"/>
    <mergeCell ref="M66:O66"/>
    <mergeCell ref="M68:O68"/>
    <mergeCell ref="M69:O69"/>
    <mergeCell ref="M71:O71"/>
    <mergeCell ref="M73:O73"/>
    <mergeCell ref="S61:S62"/>
    <mergeCell ref="A63:A64"/>
    <mergeCell ref="B63:B64"/>
    <mergeCell ref="H63:H64"/>
    <mergeCell ref="I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B61:B62"/>
    <mergeCell ref="H61:H62"/>
    <mergeCell ref="I61:J62"/>
    <mergeCell ref="K61:K62"/>
  </mergeCells>
  <phoneticPr fontId="2" type="noConversion"/>
  <dataValidations count="1">
    <dataValidation type="list" allowBlank="1" showInputMessage="1" showErrorMessage="1" sqref="S23 S27:S60 S25">
      <formula1>$A$77:$A$95</formula1>
    </dataValidation>
  </dataValidations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Q294"/>
  <sheetViews>
    <sheetView zoomScaleNormal="100" zoomScalePageLayoutView="85"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38" t="s">
        <v>139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85" t="s">
        <v>154</v>
      </c>
      <c r="B4" s="2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42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23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41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40" t="s">
        <v>10</v>
      </c>
      <c r="B14" s="242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61" t="s">
        <v>114</v>
      </c>
      <c r="E17" s="361"/>
      <c r="F17" s="361"/>
      <c r="G17" s="67" t="str">
        <f>IF('Site Data'!E13="Yes",1.7/12*F9*B11-G12,"NA")</f>
        <v>NA</v>
      </c>
      <c r="H17" s="49"/>
    </row>
    <row r="18" spans="1:43">
      <c r="B18" s="2"/>
      <c r="C18"/>
      <c r="D18" s="361" t="s">
        <v>117</v>
      </c>
      <c r="E18" s="361"/>
      <c r="F18" s="361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137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376">
        <f>1.7/12*('Site Data'!$H$31*B23+'Site Data'!$H$32*B24+'Site Data'!$H$33*SUM(D23:D24))</f>
        <v>0</v>
      </c>
      <c r="I23" s="336" t="s">
        <v>35</v>
      </c>
      <c r="J23" s="337"/>
      <c r="K23" s="377">
        <v>1</v>
      </c>
      <c r="L23" s="378">
        <f>W67</f>
        <v>0</v>
      </c>
      <c r="M23" s="378">
        <f>H23+L23</f>
        <v>0</v>
      </c>
      <c r="N23" s="379" t="s">
        <v>11</v>
      </c>
      <c r="O23" s="380"/>
      <c r="P23" s="381">
        <f>IF(O23*K23&lt;=M23,O23*K23,M23)</f>
        <v>0</v>
      </c>
      <c r="Q23" s="378">
        <f>M23-P23</f>
        <v>0</v>
      </c>
      <c r="R23" s="379" t="s">
        <v>11</v>
      </c>
      <c r="S23" s="371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137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75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67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70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68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75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70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68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75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70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68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75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70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68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75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70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75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70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75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70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75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70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75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70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75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70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75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70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75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70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75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70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75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70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75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70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75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70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75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70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75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70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71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74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74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74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74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4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84" t="s">
        <v>135</v>
      </c>
      <c r="N66" s="384"/>
      <c r="O66" s="384"/>
      <c r="P66" s="103">
        <f>SUM(P23:P64)</f>
        <v>0</v>
      </c>
      <c r="Q66" s="125"/>
      <c r="R66" s="247"/>
      <c r="S66" s="178" t="s">
        <v>99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52">
        <f>IF(G12-P66&gt;0,G12-P66,0)</f>
        <v>0</v>
      </c>
      <c r="Q68" s="253"/>
      <c r="R68" s="254"/>
      <c r="S68" s="255" t="s">
        <v>169</v>
      </c>
      <c r="T68" s="252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52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62">
        <f>T68*7.48</f>
        <v>0</v>
      </c>
      <c r="U69" s="26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62" t="str">
        <f>IF('Site Data'!E13="Yes",IF(G17-T66-IF(P66&gt;G12,P66-G12,0)&gt;0,G17-T66-IF(P66&gt;G12,P66-G12,0),0),"N/A")</f>
        <v>N/A</v>
      </c>
      <c r="U71" s="26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 customHeight="1">
      <c r="B72" s="158"/>
      <c r="C72" s="45"/>
      <c r="D72" s="158"/>
      <c r="E72" s="45"/>
      <c r="F72" s="45"/>
      <c r="G72" s="45"/>
      <c r="H72" s="107"/>
      <c r="J72" s="27"/>
      <c r="K72" s="27"/>
      <c r="M72" s="366" t="s">
        <v>158</v>
      </c>
      <c r="N72" s="367"/>
      <c r="O72" s="368"/>
      <c r="P72" s="262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62" t="str">
        <f>IF(T71="N/A","N/A",T71*7.48)</f>
        <v>N/A</v>
      </c>
      <c r="U72" s="26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6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3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39"/>
      <c r="S147" s="23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39"/>
      <c r="S148" s="23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39"/>
      <c r="S149" s="23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39"/>
      <c r="S150" s="23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39"/>
      <c r="S151" s="23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39"/>
      <c r="S152" s="23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39"/>
      <c r="S153" s="23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09" spans="2:40" ht="12.75" customHeight="1"/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F45:F46"/>
    <mergeCell ref="F47:F48"/>
    <mergeCell ref="F49:F50"/>
    <mergeCell ref="F51:F52"/>
    <mergeCell ref="F53:F54"/>
    <mergeCell ref="F55:F56"/>
    <mergeCell ref="F57:F58"/>
    <mergeCell ref="F59:F60"/>
    <mergeCell ref="F23:F24"/>
    <mergeCell ref="F25:F26"/>
    <mergeCell ref="F27:F28"/>
    <mergeCell ref="F29:F30"/>
    <mergeCell ref="F31:F32"/>
    <mergeCell ref="F33:F34"/>
    <mergeCell ref="F35:F36"/>
    <mergeCell ref="F39:F40"/>
    <mergeCell ref="T57:T58"/>
    <mergeCell ref="T59:T60"/>
    <mergeCell ref="T61:T62"/>
    <mergeCell ref="T63:T64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A1:H1"/>
    <mergeCell ref="S51:S52"/>
    <mergeCell ref="S53:S54"/>
    <mergeCell ref="S55:S56"/>
    <mergeCell ref="S57:S58"/>
    <mergeCell ref="S59:S60"/>
    <mergeCell ref="R35:R36"/>
    <mergeCell ref="R39:R40"/>
    <mergeCell ref="R43:R44"/>
    <mergeCell ref="R47:R48"/>
    <mergeCell ref="R51:R52"/>
    <mergeCell ref="R53:R54"/>
    <mergeCell ref="R55:R56"/>
    <mergeCell ref="R57:R58"/>
    <mergeCell ref="R59:R60"/>
    <mergeCell ref="Q51:Q52"/>
    <mergeCell ref="Q53:Q54"/>
    <mergeCell ref="Q55:Q56"/>
    <mergeCell ref="Q57:Q58"/>
    <mergeCell ref="Q59:Q60"/>
    <mergeCell ref="P21:P22"/>
    <mergeCell ref="Q21:Q22"/>
    <mergeCell ref="F21:G21"/>
    <mergeCell ref="R21:R22"/>
    <mergeCell ref="L21:L22"/>
    <mergeCell ref="M21:M22"/>
    <mergeCell ref="N21:N22"/>
    <mergeCell ref="O21:O22"/>
    <mergeCell ref="A29:A30"/>
    <mergeCell ref="H29:H30"/>
    <mergeCell ref="I29:J30"/>
    <mergeCell ref="K29:K30"/>
    <mergeCell ref="L29:L30"/>
    <mergeCell ref="M29:M30"/>
    <mergeCell ref="P23:P24"/>
    <mergeCell ref="L27:L28"/>
    <mergeCell ref="M27:M28"/>
    <mergeCell ref="N27:N28"/>
    <mergeCell ref="O27:O28"/>
    <mergeCell ref="P27:P28"/>
    <mergeCell ref="Q27:Q28"/>
    <mergeCell ref="R27:R28"/>
    <mergeCell ref="A4:B4"/>
    <mergeCell ref="A27:A28"/>
    <mergeCell ref="H27:H28"/>
    <mergeCell ref="I27:J28"/>
    <mergeCell ref="K27:K28"/>
    <mergeCell ref="A21:A22"/>
    <mergeCell ref="B21:C21"/>
    <mergeCell ref="D21:E21"/>
    <mergeCell ref="H21:H22"/>
    <mergeCell ref="I21:J22"/>
    <mergeCell ref="K21:K22"/>
    <mergeCell ref="D12:F12"/>
    <mergeCell ref="D13:F13"/>
    <mergeCell ref="D14:F14"/>
    <mergeCell ref="D17:F17"/>
    <mergeCell ref="D18:F18"/>
    <mergeCell ref="S21:S22"/>
    <mergeCell ref="Q23:Q24"/>
    <mergeCell ref="R23:R24"/>
    <mergeCell ref="S23:S24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A23:A24"/>
    <mergeCell ref="H23:H24"/>
    <mergeCell ref="I23:J24"/>
    <mergeCell ref="K23:K24"/>
    <mergeCell ref="L23:L24"/>
    <mergeCell ref="M23:M24"/>
    <mergeCell ref="N23:N24"/>
    <mergeCell ref="O23:O24"/>
    <mergeCell ref="S27:S28"/>
    <mergeCell ref="N29:N30"/>
    <mergeCell ref="O29:O30"/>
    <mergeCell ref="P29:P30"/>
    <mergeCell ref="Q29:Q30"/>
    <mergeCell ref="R29:R30"/>
    <mergeCell ref="S29:S30"/>
    <mergeCell ref="Q31:Q32"/>
    <mergeCell ref="R31:R32"/>
    <mergeCell ref="S31:S32"/>
    <mergeCell ref="Q33:Q34"/>
    <mergeCell ref="R33:R34"/>
    <mergeCell ref="S33:S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S35:S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Q35:Q36"/>
    <mergeCell ref="F37:F38"/>
    <mergeCell ref="S39:S40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A39:A40"/>
    <mergeCell ref="H39:H40"/>
    <mergeCell ref="I39:J40"/>
    <mergeCell ref="K39:K40"/>
    <mergeCell ref="L39:L40"/>
    <mergeCell ref="M39:M40"/>
    <mergeCell ref="N39:N40"/>
    <mergeCell ref="O39:O40"/>
    <mergeCell ref="P39:P40"/>
    <mergeCell ref="Q39:Q40"/>
    <mergeCell ref="F41:F42"/>
    <mergeCell ref="S43:S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A43:A44"/>
    <mergeCell ref="H43:H44"/>
    <mergeCell ref="I43:J44"/>
    <mergeCell ref="K43:K44"/>
    <mergeCell ref="L43:L44"/>
    <mergeCell ref="M43:M44"/>
    <mergeCell ref="N43:N44"/>
    <mergeCell ref="O43:O44"/>
    <mergeCell ref="P43:P44"/>
    <mergeCell ref="Q43:Q44"/>
    <mergeCell ref="F43:F44"/>
    <mergeCell ref="S47:S48"/>
    <mergeCell ref="A49:A50"/>
    <mergeCell ref="H49:H50"/>
    <mergeCell ref="I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H47:H48"/>
    <mergeCell ref="I47:J48"/>
    <mergeCell ref="K47:K48"/>
    <mergeCell ref="L47:L48"/>
    <mergeCell ref="M47:M48"/>
    <mergeCell ref="N47:N48"/>
    <mergeCell ref="O47:O48"/>
    <mergeCell ref="P47:P48"/>
    <mergeCell ref="Q47:Q48"/>
    <mergeCell ref="A47:A48"/>
    <mergeCell ref="A51:A52"/>
    <mergeCell ref="H51:H52"/>
    <mergeCell ref="I51:J52"/>
    <mergeCell ref="K51:K52"/>
    <mergeCell ref="L51:L52"/>
    <mergeCell ref="M51:M52"/>
    <mergeCell ref="N51:N52"/>
    <mergeCell ref="O51:O52"/>
    <mergeCell ref="P51:P52"/>
    <mergeCell ref="A53:A54"/>
    <mergeCell ref="H53:H54"/>
    <mergeCell ref="I53:J54"/>
    <mergeCell ref="K53:K54"/>
    <mergeCell ref="L53:L54"/>
    <mergeCell ref="M53:M54"/>
    <mergeCell ref="N53:N54"/>
    <mergeCell ref="O53:O54"/>
    <mergeCell ref="P53:P54"/>
    <mergeCell ref="A55:A56"/>
    <mergeCell ref="H55:H56"/>
    <mergeCell ref="I55:J56"/>
    <mergeCell ref="K55:K56"/>
    <mergeCell ref="L55:L56"/>
    <mergeCell ref="M55:M56"/>
    <mergeCell ref="N55:N56"/>
    <mergeCell ref="O55:O56"/>
    <mergeCell ref="P55:P56"/>
    <mergeCell ref="A57:A58"/>
    <mergeCell ref="H57:H58"/>
    <mergeCell ref="I57:J58"/>
    <mergeCell ref="K57:K58"/>
    <mergeCell ref="L57:L58"/>
    <mergeCell ref="M57:M58"/>
    <mergeCell ref="N57:N58"/>
    <mergeCell ref="O57:O58"/>
    <mergeCell ref="P57:P58"/>
    <mergeCell ref="A59:A60"/>
    <mergeCell ref="H59:H60"/>
    <mergeCell ref="I59:J60"/>
    <mergeCell ref="K59:K60"/>
    <mergeCell ref="L59:L60"/>
    <mergeCell ref="M59:M60"/>
    <mergeCell ref="N59:N60"/>
    <mergeCell ref="O59:O60"/>
    <mergeCell ref="P59:P60"/>
    <mergeCell ref="A61:A62"/>
    <mergeCell ref="B61:B62"/>
    <mergeCell ref="H61:H62"/>
    <mergeCell ref="I61:J62"/>
    <mergeCell ref="K61:K62"/>
    <mergeCell ref="L61:L62"/>
    <mergeCell ref="M61:M62"/>
    <mergeCell ref="N61:N62"/>
    <mergeCell ref="A63:A64"/>
    <mergeCell ref="B63:B64"/>
    <mergeCell ref="H63:H64"/>
    <mergeCell ref="I63:J64"/>
    <mergeCell ref="K63:K64"/>
    <mergeCell ref="L63:L64"/>
    <mergeCell ref="M63:M64"/>
    <mergeCell ref="N63:N64"/>
    <mergeCell ref="C61:G62"/>
    <mergeCell ref="C63:G64"/>
    <mergeCell ref="S61:S62"/>
    <mergeCell ref="O63:O64"/>
    <mergeCell ref="P63:P64"/>
    <mergeCell ref="Q63:Q64"/>
    <mergeCell ref="R63:R64"/>
    <mergeCell ref="S63:S64"/>
    <mergeCell ref="O61:O62"/>
    <mergeCell ref="Q69:R69"/>
    <mergeCell ref="M72:O72"/>
    <mergeCell ref="M75:O75"/>
    <mergeCell ref="M66:O66"/>
    <mergeCell ref="M68:O68"/>
    <mergeCell ref="M69:O69"/>
    <mergeCell ref="M71:O71"/>
    <mergeCell ref="M73:O73"/>
    <mergeCell ref="P61:P62"/>
    <mergeCell ref="Q61:Q62"/>
    <mergeCell ref="R61:R62"/>
  </mergeCells>
  <phoneticPr fontId="2" type="noConversion"/>
  <dataValidations count="1">
    <dataValidation type="list" allowBlank="1" showInputMessage="1" showErrorMessage="1" sqref="S23 S27:S60 S25">
      <formula1>$A$77:$A$95</formula1>
    </dataValidation>
  </dataValidations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AQ294"/>
  <sheetViews>
    <sheetView zoomScaleNormal="100" zoomScalePageLayoutView="85"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.75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38" t="s">
        <v>140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85" t="s">
        <v>155</v>
      </c>
      <c r="B4" s="2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42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23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41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40" t="s">
        <v>10</v>
      </c>
      <c r="B14" s="242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61" t="s">
        <v>114</v>
      </c>
      <c r="E17" s="361"/>
      <c r="F17" s="361"/>
      <c r="G17" s="67" t="str">
        <f>IF('Site Data'!E13="Yes",1.7/12*F9*B11-G12,"NA")</f>
        <v>NA</v>
      </c>
      <c r="H17" s="49"/>
    </row>
    <row r="18" spans="1:43">
      <c r="B18" s="2"/>
      <c r="C18"/>
      <c r="D18" s="361" t="s">
        <v>117</v>
      </c>
      <c r="E18" s="361"/>
      <c r="F18" s="361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137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376">
        <f>1.7/12*('Site Data'!$H$31*B23+'Site Data'!$H$32*B24+'Site Data'!$H$33*SUM(D23:D24))</f>
        <v>0</v>
      </c>
      <c r="I23" s="336" t="s">
        <v>35</v>
      </c>
      <c r="J23" s="337"/>
      <c r="K23" s="377">
        <v>1</v>
      </c>
      <c r="L23" s="378">
        <f>W67</f>
        <v>0</v>
      </c>
      <c r="M23" s="378">
        <f>H23+L23</f>
        <v>0</v>
      </c>
      <c r="N23" s="379" t="s">
        <v>11</v>
      </c>
      <c r="O23" s="380"/>
      <c r="P23" s="381">
        <f>IF(O23*K23&lt;=M23,O23*K23,M23)</f>
        <v>0</v>
      </c>
      <c r="Q23" s="378">
        <f>M23-P23</f>
        <v>0</v>
      </c>
      <c r="R23" s="379" t="s">
        <v>11</v>
      </c>
      <c r="S23" s="371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137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75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67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70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68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75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70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68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75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70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68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75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70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68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75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 ht="19.5" customHeight="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70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9.5" customHeight="1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75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 ht="19.5" customHeight="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70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9.5" customHeight="1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75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 ht="19.5" customHeight="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70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9.5" customHeight="1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75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 ht="19.5" customHeight="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70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9.5" customHeight="1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75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 ht="19.5" customHeight="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70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9.5" customHeight="1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75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 ht="19.5" customHeight="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70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9.5" customHeight="1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75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 ht="19.5" customHeight="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70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9.5" customHeight="1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75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 ht="19.5" customHeight="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70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9.5" customHeight="1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75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 ht="19.5" customHeight="1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70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9.5" customHeight="1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75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 ht="19.5" customHeight="1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70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9.5" customHeight="1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75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 ht="19.5" customHeight="1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70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9.5" customHeight="1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75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 ht="19.5" customHeight="1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70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9.5" customHeight="1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75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 ht="19.5" customHeight="1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70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9.5" customHeight="1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75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 ht="19.5" customHeight="1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70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9.5" customHeight="1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71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 ht="19.5" customHeigh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74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9.5" customHeight="1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74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 ht="19.5" customHeigh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74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9.5" customHeight="1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74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4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103">
        <f>SUM(H23:H60)</f>
        <v>0</v>
      </c>
      <c r="I66" s="45"/>
      <c r="J66" s="40"/>
      <c r="K66" s="114"/>
      <c r="M66" s="384" t="s">
        <v>135</v>
      </c>
      <c r="N66" s="384"/>
      <c r="O66" s="384"/>
      <c r="P66" s="103">
        <f>SUM(P23:P64)</f>
        <v>0</v>
      </c>
      <c r="Q66" s="125"/>
      <c r="R66" s="247"/>
      <c r="S66" s="178" t="s">
        <v>99</v>
      </c>
      <c r="T66" s="103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5.25" customHeight="1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52">
        <f>IF(G12-P66&gt;0,G12-P66,0)</f>
        <v>0</v>
      </c>
      <c r="Q68" s="253"/>
      <c r="R68" s="254"/>
      <c r="S68" s="255" t="s">
        <v>169</v>
      </c>
      <c r="T68" s="252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5.25" customHeight="1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52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62">
        <f>T68*7.48</f>
        <v>0</v>
      </c>
      <c r="U69" s="262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 ht="12.75" customHeight="1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62" t="str">
        <f>IF('Site Data'!E13="Yes",IF(G17-T66-IF(P66&gt;G12,P66-G12,0)&gt;0,G17-T66-IF(P66&gt;G12,P66-G12,0),0),"N/A")</f>
        <v>N/A</v>
      </c>
      <c r="U71" s="262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M72" s="366" t="s">
        <v>158</v>
      </c>
      <c r="N72" s="367"/>
      <c r="O72" s="368"/>
      <c r="P72" s="262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62" t="str">
        <f>IF(T71="N/A","N/A",T71*7.48)</f>
        <v>N/A</v>
      </c>
      <c r="U72" s="262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52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 ht="12.75" customHeight="1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62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t="12.75" hidden="1" customHeight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hidden="1" customHeight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hidden="1" customHeight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t="12.75" hidden="1" customHeight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 ht="12.75" customHeigh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 ht="12.75" customHeigh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 ht="12.75" customHeight="1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 ht="12.75" customHeigh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 ht="12.75" customHeigh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 ht="12.75" customHeigh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3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39"/>
      <c r="S147" s="23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39"/>
      <c r="S148" s="23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39"/>
      <c r="S149" s="23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39"/>
      <c r="S150" s="23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39"/>
      <c r="S151" s="23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39"/>
      <c r="S152" s="23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39"/>
      <c r="S153" s="23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66" customHeight="1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65.25" customHeight="1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" customHeight="1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" customHeight="1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54" customHeight="1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" hidden="1" customHeight="1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" hidden="1" customHeight="1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 ht="12" hidden="1" customHeigh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 ht="12" hidden="1" customHeight="1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" hidden="1" customHeight="1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" hidden="1" customHeight="1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" hidden="1" customHeight="1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" hidden="1" customHeight="1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" hidden="1" customHeight="1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" hidden="1" customHeight="1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" hidden="1" customHeight="1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" hidden="1" customHeight="1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" hidden="1" customHeight="1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" hidden="1" customHeight="1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hidden="1" customHeight="1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hidden="1" customHeight="1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hidden="1" customHeight="1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hidden="1" customHeight="1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hidden="1" customHeight="1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hidden="1" customHeight="1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hidden="1" customHeight="1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hidden="1" customHeight="1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 ht="12.75" customHeigh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 ht="12.75" customHeigh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 ht="12.75" customHeigh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09" spans="2:40" ht="12.75" customHeight="1"/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Q69:R69"/>
    <mergeCell ref="Q23:Q24"/>
    <mergeCell ref="R23:R24"/>
    <mergeCell ref="S23:S24"/>
    <mergeCell ref="Q25:Q26"/>
    <mergeCell ref="R25:R26"/>
    <mergeCell ref="P61:P62"/>
    <mergeCell ref="Q61:Q62"/>
    <mergeCell ref="R61:R62"/>
    <mergeCell ref="Q33:Q34"/>
    <mergeCell ref="R33:R34"/>
    <mergeCell ref="S33:S34"/>
    <mergeCell ref="R35:R36"/>
    <mergeCell ref="S35:S36"/>
    <mergeCell ref="Q37:Q38"/>
    <mergeCell ref="P39:P40"/>
    <mergeCell ref="Q43:Q44"/>
    <mergeCell ref="Q35:Q36"/>
    <mergeCell ref="Q39:Q40"/>
    <mergeCell ref="Q31:Q32"/>
    <mergeCell ref="R31:R32"/>
    <mergeCell ref="S31:S32"/>
    <mergeCell ref="Q47:Q48"/>
    <mergeCell ref="R47:R48"/>
    <mergeCell ref="M72:O72"/>
    <mergeCell ref="T57:T58"/>
    <mergeCell ref="T59:T60"/>
    <mergeCell ref="T61:T62"/>
    <mergeCell ref="T63:T64"/>
    <mergeCell ref="T35:T36"/>
    <mergeCell ref="T37:T38"/>
    <mergeCell ref="Q29:Q30"/>
    <mergeCell ref="R29:R30"/>
    <mergeCell ref="S29:S30"/>
    <mergeCell ref="T29:T30"/>
    <mergeCell ref="T31:T32"/>
    <mergeCell ref="T33:T34"/>
    <mergeCell ref="R37:R38"/>
    <mergeCell ref="S37:S38"/>
    <mergeCell ref="R39:R40"/>
    <mergeCell ref="S39:S40"/>
    <mergeCell ref="Q41:Q42"/>
    <mergeCell ref="R41:R42"/>
    <mergeCell ref="S41:S42"/>
    <mergeCell ref="S43:S44"/>
    <mergeCell ref="Q45:Q46"/>
    <mergeCell ref="R45:R46"/>
    <mergeCell ref="S45:S46"/>
    <mergeCell ref="K27:K28"/>
    <mergeCell ref="L27:L28"/>
    <mergeCell ref="M27:M28"/>
    <mergeCell ref="N27:N28"/>
    <mergeCell ref="O27:O28"/>
    <mergeCell ref="P27:P28"/>
    <mergeCell ref="Q27:Q28"/>
    <mergeCell ref="T21:T22"/>
    <mergeCell ref="T23:T24"/>
    <mergeCell ref="T25:T26"/>
    <mergeCell ref="T27:T28"/>
    <mergeCell ref="R21:R22"/>
    <mergeCell ref="S21:S22"/>
    <mergeCell ref="S25:S26"/>
    <mergeCell ref="O23:O24"/>
    <mergeCell ref="P23:P24"/>
    <mergeCell ref="C63:G64"/>
    <mergeCell ref="T39:T40"/>
    <mergeCell ref="T41:T42"/>
    <mergeCell ref="T43:T44"/>
    <mergeCell ref="T45:T46"/>
    <mergeCell ref="T47:T48"/>
    <mergeCell ref="T49:T50"/>
    <mergeCell ref="T51:T52"/>
    <mergeCell ref="T53:T54"/>
    <mergeCell ref="T55:T56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K47:K48"/>
    <mergeCell ref="G39:G40"/>
    <mergeCell ref="G41:G42"/>
    <mergeCell ref="G43:G44"/>
    <mergeCell ref="G45:G46"/>
    <mergeCell ref="A61:A62"/>
    <mergeCell ref="H47:H48"/>
    <mergeCell ref="I47:J48"/>
    <mergeCell ref="H49:H50"/>
    <mergeCell ref="I49:J50"/>
    <mergeCell ref="H51:H52"/>
    <mergeCell ref="I51:J52"/>
    <mergeCell ref="H53:H54"/>
    <mergeCell ref="I53:J54"/>
    <mergeCell ref="H55:H56"/>
    <mergeCell ref="I55:J56"/>
    <mergeCell ref="H57:H58"/>
    <mergeCell ref="I57:J58"/>
    <mergeCell ref="H59:H60"/>
    <mergeCell ref="I59:J60"/>
    <mergeCell ref="G47:G48"/>
    <mergeCell ref="G49:G50"/>
    <mergeCell ref="G51:G52"/>
    <mergeCell ref="G53:G54"/>
    <mergeCell ref="G55:G56"/>
    <mergeCell ref="G57:G58"/>
    <mergeCell ref="G59:G60"/>
    <mergeCell ref="C61:G62"/>
    <mergeCell ref="F59:F60"/>
    <mergeCell ref="A1:H1"/>
    <mergeCell ref="A4:B4"/>
    <mergeCell ref="A47:A48"/>
    <mergeCell ref="A49:A50"/>
    <mergeCell ref="A51:A52"/>
    <mergeCell ref="A53:A54"/>
    <mergeCell ref="A55:A56"/>
    <mergeCell ref="A57:A58"/>
    <mergeCell ref="A59:A60"/>
    <mergeCell ref="A21:A22"/>
    <mergeCell ref="B21:C21"/>
    <mergeCell ref="D21:E21"/>
    <mergeCell ref="H21:H22"/>
    <mergeCell ref="D12:F12"/>
    <mergeCell ref="D13:F13"/>
    <mergeCell ref="D14:F14"/>
    <mergeCell ref="D17:F17"/>
    <mergeCell ref="D18:F18"/>
    <mergeCell ref="G23:G24"/>
    <mergeCell ref="G25:G26"/>
    <mergeCell ref="G27:G28"/>
    <mergeCell ref="G29:G30"/>
    <mergeCell ref="G31:G32"/>
    <mergeCell ref="G33:G34"/>
    <mergeCell ref="I21:J22"/>
    <mergeCell ref="F21:G21"/>
    <mergeCell ref="K21:K22"/>
    <mergeCell ref="L21:L22"/>
    <mergeCell ref="M21:M22"/>
    <mergeCell ref="N21:N22"/>
    <mergeCell ref="O21:O22"/>
    <mergeCell ref="P21:P22"/>
    <mergeCell ref="Q21:Q22"/>
    <mergeCell ref="A23:A24"/>
    <mergeCell ref="H23:H24"/>
    <mergeCell ref="I23:J24"/>
    <mergeCell ref="K23:K24"/>
    <mergeCell ref="L23:L24"/>
    <mergeCell ref="M23:M24"/>
    <mergeCell ref="N23:N24"/>
    <mergeCell ref="R27:R28"/>
    <mergeCell ref="S27:S28"/>
    <mergeCell ref="A25:A26"/>
    <mergeCell ref="H25:H26"/>
    <mergeCell ref="I25:J26"/>
    <mergeCell ref="K25:K26"/>
    <mergeCell ref="L25:L26"/>
    <mergeCell ref="M25:M26"/>
    <mergeCell ref="N25:N26"/>
    <mergeCell ref="O25:O26"/>
    <mergeCell ref="P25:P26"/>
    <mergeCell ref="F23:F24"/>
    <mergeCell ref="F25:F26"/>
    <mergeCell ref="F27:F28"/>
    <mergeCell ref="A27:A28"/>
    <mergeCell ref="H27:H28"/>
    <mergeCell ref="I27:J28"/>
    <mergeCell ref="A29:A30"/>
    <mergeCell ref="H29:H30"/>
    <mergeCell ref="I29:J30"/>
    <mergeCell ref="K29:K30"/>
    <mergeCell ref="L29:L30"/>
    <mergeCell ref="M29:M30"/>
    <mergeCell ref="N29:N30"/>
    <mergeCell ref="O29:O30"/>
    <mergeCell ref="P29:P30"/>
    <mergeCell ref="F29:F30"/>
    <mergeCell ref="A33:A34"/>
    <mergeCell ref="H33:H34"/>
    <mergeCell ref="I33:J34"/>
    <mergeCell ref="K33:K34"/>
    <mergeCell ref="L33:L34"/>
    <mergeCell ref="M33:M34"/>
    <mergeCell ref="N33:N34"/>
    <mergeCell ref="O33:O34"/>
    <mergeCell ref="P33:P34"/>
    <mergeCell ref="F33:F34"/>
    <mergeCell ref="A31:A32"/>
    <mergeCell ref="H31:H32"/>
    <mergeCell ref="I31:J32"/>
    <mergeCell ref="K31:K32"/>
    <mergeCell ref="L31:L32"/>
    <mergeCell ref="M31:M32"/>
    <mergeCell ref="N31:N32"/>
    <mergeCell ref="O31:O32"/>
    <mergeCell ref="P31:P32"/>
    <mergeCell ref="F31:F32"/>
    <mergeCell ref="A35:A36"/>
    <mergeCell ref="H35:H36"/>
    <mergeCell ref="I35:J36"/>
    <mergeCell ref="K35:K36"/>
    <mergeCell ref="L35:L36"/>
    <mergeCell ref="M35:M36"/>
    <mergeCell ref="N35:N36"/>
    <mergeCell ref="O35:O36"/>
    <mergeCell ref="P35:P36"/>
    <mergeCell ref="G35:G36"/>
    <mergeCell ref="F35:F36"/>
    <mergeCell ref="A37:A38"/>
    <mergeCell ref="H37:H38"/>
    <mergeCell ref="I37:J38"/>
    <mergeCell ref="K37:K38"/>
    <mergeCell ref="L37:L38"/>
    <mergeCell ref="M37:M38"/>
    <mergeCell ref="N37:N38"/>
    <mergeCell ref="O37:O38"/>
    <mergeCell ref="P37:P38"/>
    <mergeCell ref="F37:F38"/>
    <mergeCell ref="G37:G38"/>
    <mergeCell ref="A39:A40"/>
    <mergeCell ref="H39:H40"/>
    <mergeCell ref="I39:J40"/>
    <mergeCell ref="K39:K40"/>
    <mergeCell ref="L39:L40"/>
    <mergeCell ref="M39:M40"/>
    <mergeCell ref="N39:N40"/>
    <mergeCell ref="F39:F40"/>
    <mergeCell ref="R43:R44"/>
    <mergeCell ref="A41:A42"/>
    <mergeCell ref="H41:H42"/>
    <mergeCell ref="I41:J42"/>
    <mergeCell ref="K41:K42"/>
    <mergeCell ref="L41:L42"/>
    <mergeCell ref="M41:M42"/>
    <mergeCell ref="N41:N42"/>
    <mergeCell ref="O41:O42"/>
    <mergeCell ref="P41:P42"/>
    <mergeCell ref="O39:O40"/>
    <mergeCell ref="A43:A44"/>
    <mergeCell ref="H43:H44"/>
    <mergeCell ref="I43:J44"/>
    <mergeCell ref="K43:K44"/>
    <mergeCell ref="L43:L44"/>
    <mergeCell ref="M43:M44"/>
    <mergeCell ref="N43:N44"/>
    <mergeCell ref="O43:O44"/>
    <mergeCell ref="P43:P44"/>
    <mergeCell ref="A45:A46"/>
    <mergeCell ref="H45:H46"/>
    <mergeCell ref="I45:J46"/>
    <mergeCell ref="K45:K46"/>
    <mergeCell ref="L45:L46"/>
    <mergeCell ref="M45:M46"/>
    <mergeCell ref="N45:N46"/>
    <mergeCell ref="O45:O46"/>
    <mergeCell ref="P45:P46"/>
    <mergeCell ref="S47:S48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L47:L48"/>
    <mergeCell ref="M47:M48"/>
    <mergeCell ref="N47:N48"/>
    <mergeCell ref="O47:O48"/>
    <mergeCell ref="P47:P48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P59:P60"/>
    <mergeCell ref="Q59:Q60"/>
    <mergeCell ref="R59:R60"/>
    <mergeCell ref="S59:S60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L61:L62"/>
    <mergeCell ref="M61:M62"/>
    <mergeCell ref="N61:N62"/>
    <mergeCell ref="O61:O62"/>
    <mergeCell ref="K59:K60"/>
    <mergeCell ref="L59:L60"/>
    <mergeCell ref="M59:M60"/>
    <mergeCell ref="N59:N60"/>
    <mergeCell ref="O59:O60"/>
    <mergeCell ref="M75:O75"/>
    <mergeCell ref="M66:O66"/>
    <mergeCell ref="M68:O68"/>
    <mergeCell ref="M69:O69"/>
    <mergeCell ref="M71:O71"/>
    <mergeCell ref="M73:O73"/>
    <mergeCell ref="S61:S62"/>
    <mergeCell ref="A63:A64"/>
    <mergeCell ref="B63:B64"/>
    <mergeCell ref="H63:H64"/>
    <mergeCell ref="I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B61:B62"/>
    <mergeCell ref="H61:H62"/>
    <mergeCell ref="I61:J62"/>
    <mergeCell ref="K61:K62"/>
  </mergeCells>
  <phoneticPr fontId="2" type="noConversion"/>
  <dataValidations count="1">
    <dataValidation type="list" allowBlank="1" showInputMessage="1" showErrorMessage="1" sqref="S23 S27:S60 S25">
      <formula1>$A$77:$A$95</formula1>
    </dataValidation>
  </dataValidations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Q294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70" t="s">
        <v>199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85" t="s">
        <v>200</v>
      </c>
      <c r="B4" s="2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72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23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76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75" t="s">
        <v>10</v>
      </c>
      <c r="B14" s="272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61" t="s">
        <v>114</v>
      </c>
      <c r="E17" s="361"/>
      <c r="F17" s="361"/>
      <c r="G17" s="67" t="str">
        <f>IF('Site Data'!E13="Yes",1.7/12*F9*B11-G12,"NA")</f>
        <v>NA</v>
      </c>
      <c r="H17" s="49"/>
    </row>
    <row r="18" spans="1:43">
      <c r="B18" s="2"/>
      <c r="C18"/>
      <c r="D18" s="361" t="s">
        <v>117</v>
      </c>
      <c r="E18" s="361"/>
      <c r="F18" s="361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137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376">
        <f>1.7/12*('Site Data'!$H$31*B23+'Site Data'!$H$32*B24+'Site Data'!$H$33*SUM(D23:D24))</f>
        <v>0</v>
      </c>
      <c r="I23" s="336" t="s">
        <v>35</v>
      </c>
      <c r="J23" s="337"/>
      <c r="K23" s="377">
        <v>1</v>
      </c>
      <c r="L23" s="378">
        <f>W67</f>
        <v>0</v>
      </c>
      <c r="M23" s="378">
        <f>H23+L23</f>
        <v>0</v>
      </c>
      <c r="N23" s="379" t="s">
        <v>11</v>
      </c>
      <c r="O23" s="380"/>
      <c r="P23" s="381">
        <f>IF(O23*K23&lt;=M23,O23*K23,M23)</f>
        <v>0</v>
      </c>
      <c r="Q23" s="378">
        <f>M23-P23</f>
        <v>0</v>
      </c>
      <c r="R23" s="379" t="s">
        <v>11</v>
      </c>
      <c r="S23" s="371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137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75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67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70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68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75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70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68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75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70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68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75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70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68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75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70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3.5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75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70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3.5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75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70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3.5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75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70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3.5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75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70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3.5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75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70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3.5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75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70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3.5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75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70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3.5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75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70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3.5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75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70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3.5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75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70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3.5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75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70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3.5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75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70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3.5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75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70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3.5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71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74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3.5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74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74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3.5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74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7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249">
        <f>SUM(H23:H60)</f>
        <v>0</v>
      </c>
      <c r="I66" s="45"/>
      <c r="J66" s="40"/>
      <c r="K66" s="114"/>
      <c r="M66" s="384" t="s">
        <v>135</v>
      </c>
      <c r="N66" s="384"/>
      <c r="O66" s="384"/>
      <c r="P66" s="249">
        <f>SUM(P23:P64)</f>
        <v>0</v>
      </c>
      <c r="Q66" s="125"/>
      <c r="R66" s="247"/>
      <c r="S66" s="178" t="s">
        <v>99</v>
      </c>
      <c r="T66" s="249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3.7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71">
        <f>IF(G12-P66&gt;0,G12-P66,0)</f>
        <v>0</v>
      </c>
      <c r="Q68" s="253"/>
      <c r="R68" s="254"/>
      <c r="S68" s="255" t="s">
        <v>169</v>
      </c>
      <c r="T68" s="271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3.7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71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71">
        <f>T68*7.48</f>
        <v>0</v>
      </c>
      <c r="U69" s="271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71" t="str">
        <f>IF('Site Data'!E13="Yes",IF(G17-T66-IF(P66&gt;G12,P66-G12,0)&gt;0,G17-T66-IF(P66&gt;G12,P66-G12,0),0),"N/A")</f>
        <v>N/A</v>
      </c>
      <c r="U71" s="271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M72" s="366" t="s">
        <v>158</v>
      </c>
      <c r="N72" s="367"/>
      <c r="O72" s="368"/>
      <c r="P72" s="271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71" t="str">
        <f>IF(T71="N/A","N/A",T71*7.48)</f>
        <v>N/A</v>
      </c>
      <c r="U72" s="271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71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71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idden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idden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idden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idden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9"/>
      <c r="S147" s="26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9"/>
      <c r="S148" s="26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9"/>
      <c r="S149" s="26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9"/>
      <c r="S150" s="26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9"/>
      <c r="S151" s="26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9"/>
      <c r="S152" s="26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9"/>
      <c r="S153" s="26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D18:F18"/>
    <mergeCell ref="A21:A22"/>
    <mergeCell ref="B21:C21"/>
    <mergeCell ref="D21:E21"/>
    <mergeCell ref="F21:G21"/>
    <mergeCell ref="H21:H22"/>
    <mergeCell ref="A1:H1"/>
    <mergeCell ref="A4:B4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1">
    <dataValidation type="list" allowBlank="1" showInputMessage="1" showErrorMessage="1" sqref="S23 S27:S60 S25">
      <formula1>$A$77:$A$95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Q294"/>
  <sheetViews>
    <sheetView workbookViewId="0">
      <selection sqref="A1:H1"/>
    </sheetView>
  </sheetViews>
  <sheetFormatPr defaultColWidth="8.85546875" defaultRowHeight="12.75"/>
  <cols>
    <col min="1" max="1" width="50.140625" style="2" customWidth="1"/>
    <col min="2" max="2" width="16.85546875" style="3" customWidth="1"/>
    <col min="3" max="3" width="17.28515625" style="2" customWidth="1"/>
    <col min="4" max="4" width="12.28515625" style="3" customWidth="1"/>
    <col min="5" max="5" width="22.5703125" style="2" customWidth="1"/>
    <col min="6" max="6" width="12.7109375" style="123" customWidth="1"/>
    <col min="7" max="7" width="11.28515625" style="2" customWidth="1"/>
    <col min="8" max="8" width="15.42578125" style="2" customWidth="1"/>
    <col min="9" max="9" width="17.7109375" style="2" customWidth="1"/>
    <col min="10" max="10" width="17.7109375" style="89" customWidth="1"/>
    <col min="11" max="11" width="13" style="89" customWidth="1"/>
    <col min="12" max="12" width="16" style="3" customWidth="1"/>
    <col min="13" max="13" width="15.28515625" style="89" customWidth="1"/>
    <col min="14" max="14" width="15.5703125" style="89" customWidth="1"/>
    <col min="15" max="15" width="18" style="123" customWidth="1"/>
    <col min="16" max="16" width="14.7109375" style="123" customWidth="1"/>
    <col min="17" max="17" width="17.42578125" style="3" customWidth="1"/>
    <col min="18" max="19" width="14.7109375" style="3" customWidth="1"/>
    <col min="20" max="20" width="14.7109375" style="22" customWidth="1"/>
    <col min="21" max="21" width="9.7109375" style="2" customWidth="1"/>
    <col min="22" max="30" width="9.140625" style="2" hidden="1" customWidth="1"/>
    <col min="31" max="39" width="9.140625" style="28" hidden="1" customWidth="1"/>
    <col min="40" max="40" width="14.7109375" style="28" hidden="1" customWidth="1"/>
    <col min="41" max="41" width="8.85546875" style="2" hidden="1" customWidth="1"/>
    <col min="42" max="43" width="0" style="2" hidden="1" customWidth="1"/>
    <col min="44" max="16384" width="8.85546875" style="2"/>
  </cols>
  <sheetData>
    <row r="1" spans="1:40" ht="18" customHeight="1">
      <c r="A1" s="283" t="s">
        <v>215</v>
      </c>
      <c r="B1" s="283"/>
      <c r="C1" s="283"/>
      <c r="D1" s="283"/>
      <c r="E1" s="283"/>
      <c r="F1" s="283"/>
      <c r="G1" s="283"/>
      <c r="H1" s="28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>
      <c r="A2" s="270" t="s">
        <v>198</v>
      </c>
      <c r="B2" s="154"/>
      <c r="C2" s="49"/>
      <c r="D2" s="154"/>
      <c r="E2" s="49"/>
      <c r="F2" s="129"/>
      <c r="G2" s="49"/>
      <c r="H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>
      <c r="B3" s="2"/>
      <c r="C3" s="7"/>
      <c r="D3" s="154"/>
      <c r="E3" s="49"/>
      <c r="F3" s="129"/>
      <c r="G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>
      <c r="A4" s="285" t="s">
        <v>201</v>
      </c>
      <c r="B4" s="285"/>
      <c r="C4"/>
      <c r="D4" s="154"/>
      <c r="F4" s="2"/>
      <c r="G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87" t="s">
        <v>33</v>
      </c>
      <c r="B5" s="272" t="s">
        <v>58</v>
      </c>
      <c r="C5"/>
      <c r="D5" s="154"/>
      <c r="E5" s="7" t="s">
        <v>14</v>
      </c>
      <c r="F5" s="50"/>
      <c r="G5" s="2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96" t="s">
        <v>25</v>
      </c>
      <c r="B6" s="169"/>
      <c r="C6"/>
      <c r="D6" s="154"/>
      <c r="E6" s="120" t="s">
        <v>22</v>
      </c>
      <c r="F6" s="100">
        <f>IFERROR(B6/B11,0)</f>
        <v>0</v>
      </c>
      <c r="G6" s="23"/>
      <c r="H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9" t="s">
        <v>32</v>
      </c>
      <c r="B7" s="169"/>
      <c r="C7"/>
      <c r="D7" s="154"/>
      <c r="E7" s="210" t="s">
        <v>119</v>
      </c>
      <c r="F7" s="100">
        <f>IFERROR(B7/B11,0)</f>
        <v>0</v>
      </c>
      <c r="H7" s="4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9" t="s">
        <v>13</v>
      </c>
      <c r="B8" s="169"/>
      <c r="C8"/>
      <c r="D8" s="154"/>
      <c r="E8" s="120" t="s">
        <v>23</v>
      </c>
      <c r="F8" s="100">
        <f>IFERROR((B8+B10)/B11,0)</f>
        <v>0</v>
      </c>
      <c r="H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245" t="s">
        <v>156</v>
      </c>
      <c r="B9" s="169"/>
      <c r="C9"/>
      <c r="D9" s="154"/>
      <c r="E9" s="117" t="s">
        <v>15</v>
      </c>
      <c r="F9" s="101">
        <f>B15*F6+B16*F7+B17*F8</f>
        <v>0</v>
      </c>
      <c r="H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9" t="s">
        <v>85</v>
      </c>
      <c r="B10" s="169"/>
      <c r="C10"/>
      <c r="D10" s="154"/>
      <c r="E10" s="83"/>
      <c r="F10" s="72"/>
      <c r="H10" s="4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>
      <c r="A11" s="99" t="s">
        <v>71</v>
      </c>
      <c r="B11" s="137">
        <f>SUM(B6:B8)+B10</f>
        <v>0</v>
      </c>
      <c r="C11"/>
      <c r="D11" s="154"/>
      <c r="F11" s="2"/>
      <c r="H11" s="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>
      <c r="C12"/>
      <c r="D12" s="361" t="s">
        <v>52</v>
      </c>
      <c r="E12" s="361"/>
      <c r="F12" s="361"/>
      <c r="G12" s="67">
        <f>'Site Data'!E16/12*F9*B11</f>
        <v>0</v>
      </c>
      <c r="H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276" t="s">
        <v>12</v>
      </c>
      <c r="B13" s="14"/>
      <c r="C13"/>
      <c r="D13" s="361" t="s">
        <v>86</v>
      </c>
      <c r="E13" s="361"/>
      <c r="F13" s="361"/>
      <c r="G13" s="67">
        <f>G12*7.48</f>
        <v>0</v>
      </c>
      <c r="H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275" t="s">
        <v>10</v>
      </c>
      <c r="B14" s="272" t="s">
        <v>20</v>
      </c>
      <c r="C14"/>
      <c r="D14" s="361" t="s">
        <v>159</v>
      </c>
      <c r="E14" s="361"/>
      <c r="F14" s="361"/>
      <c r="G14" s="246">
        <f>'Site Data'!E16/12*B17*B9*0.5</f>
        <v>0</v>
      </c>
      <c r="H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188" t="s">
        <v>25</v>
      </c>
      <c r="B15" s="71">
        <v>0</v>
      </c>
      <c r="C15"/>
      <c r="D15" s="154"/>
      <c r="H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46" t="s">
        <v>32</v>
      </c>
      <c r="B16" s="71">
        <v>0.25</v>
      </c>
      <c r="C16"/>
      <c r="D16" s="186" t="s">
        <v>102</v>
      </c>
      <c r="F16" s="129"/>
      <c r="G16" s="49"/>
      <c r="H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3">
      <c r="A17" s="46" t="s">
        <v>13</v>
      </c>
      <c r="B17" s="71">
        <v>0.95</v>
      </c>
      <c r="C17"/>
      <c r="D17" s="361" t="s">
        <v>114</v>
      </c>
      <c r="E17" s="361"/>
      <c r="F17" s="361"/>
      <c r="G17" s="67" t="str">
        <f>IF('Site Data'!E13="Yes",1.7/12*F9*B11-G12,"NA")</f>
        <v>NA</v>
      </c>
      <c r="H17" s="49"/>
    </row>
    <row r="18" spans="1:43">
      <c r="B18" s="2"/>
      <c r="C18"/>
      <c r="D18" s="361" t="s">
        <v>117</v>
      </c>
      <c r="E18" s="361"/>
      <c r="F18" s="361"/>
      <c r="G18" s="67" t="str">
        <f>IF(G17="NA","NA",G17*7.48)</f>
        <v>NA</v>
      </c>
      <c r="H18" s="49"/>
      <c r="J18" s="2"/>
      <c r="K18" s="2"/>
    </row>
    <row r="19" spans="1:43" s="14" customFormat="1">
      <c r="A19" s="9" t="s">
        <v>157</v>
      </c>
      <c r="B19" s="48"/>
      <c r="D19" s="48"/>
      <c r="F19" s="130"/>
      <c r="L19" s="48"/>
      <c r="M19" s="106"/>
      <c r="N19" s="106"/>
      <c r="O19" s="106"/>
      <c r="P19" s="106"/>
      <c r="Q19" s="49"/>
      <c r="R19" s="47"/>
      <c r="S19" s="47"/>
      <c r="U19" s="135"/>
      <c r="V19" s="135"/>
      <c r="W19" s="135"/>
      <c r="X19" s="135"/>
      <c r="Y19" s="135"/>
      <c r="Z19" s="135"/>
      <c r="AA19" s="33"/>
      <c r="AB19" s="33"/>
      <c r="AC19" s="33"/>
      <c r="AD19" s="33"/>
      <c r="AE19" s="33"/>
      <c r="AF19" s="33"/>
      <c r="AG19" s="33"/>
      <c r="AH19" s="50"/>
      <c r="AI19" s="50"/>
      <c r="AJ19" s="50"/>
      <c r="AK19" s="50"/>
      <c r="AL19" s="50"/>
      <c r="AM19" s="50"/>
      <c r="AN19" s="50"/>
    </row>
    <row r="20" spans="1:43" s="14" customFormat="1" ht="18.75" thickBot="1">
      <c r="A20" s="12" t="s">
        <v>81</v>
      </c>
      <c r="B20" s="48"/>
      <c r="D20" s="48"/>
      <c r="F20" s="130"/>
      <c r="I20" s="16"/>
      <c r="J20" s="124"/>
      <c r="K20" s="106"/>
      <c r="L20" s="48"/>
      <c r="M20" s="106"/>
      <c r="N20" s="106"/>
      <c r="O20" s="106"/>
      <c r="P20" s="106"/>
      <c r="Q20" s="49"/>
      <c r="R20" s="47"/>
      <c r="S20" s="47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3" s="150" customFormat="1" ht="25.5" customHeight="1">
      <c r="A21" s="349"/>
      <c r="B21" s="351" t="s">
        <v>193</v>
      </c>
      <c r="C21" s="352"/>
      <c r="D21" s="351" t="s">
        <v>191</v>
      </c>
      <c r="E21" s="352"/>
      <c r="F21" s="359" t="s">
        <v>192</v>
      </c>
      <c r="G21" s="360"/>
      <c r="H21" s="353" t="s">
        <v>174</v>
      </c>
      <c r="I21" s="355" t="s">
        <v>87</v>
      </c>
      <c r="J21" s="356"/>
      <c r="K21" s="343" t="s">
        <v>88</v>
      </c>
      <c r="L21" s="338" t="s">
        <v>175</v>
      </c>
      <c r="M21" s="340" t="s">
        <v>176</v>
      </c>
      <c r="N21" s="345" t="s">
        <v>177</v>
      </c>
      <c r="O21" s="338" t="s">
        <v>178</v>
      </c>
      <c r="P21" s="338" t="s">
        <v>166</v>
      </c>
      <c r="Q21" s="340" t="s">
        <v>167</v>
      </c>
      <c r="R21" s="340" t="s">
        <v>168</v>
      </c>
      <c r="S21" s="382" t="s">
        <v>173</v>
      </c>
      <c r="T21" s="362" t="s">
        <v>160</v>
      </c>
      <c r="U21" s="149"/>
      <c r="V21" s="172"/>
      <c r="W21" s="150" t="s">
        <v>27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</row>
    <row r="22" spans="1:43" s="150" customFormat="1" ht="55.5" customHeight="1" thickBot="1">
      <c r="A22" s="350"/>
      <c r="B22" s="155" t="s">
        <v>162</v>
      </c>
      <c r="C22" s="152" t="s">
        <v>60</v>
      </c>
      <c r="D22" s="155" t="s">
        <v>162</v>
      </c>
      <c r="E22" s="152" t="s">
        <v>60</v>
      </c>
      <c r="F22" s="152" t="s">
        <v>162</v>
      </c>
      <c r="G22" s="152" t="s">
        <v>163</v>
      </c>
      <c r="H22" s="354"/>
      <c r="I22" s="357"/>
      <c r="J22" s="358"/>
      <c r="K22" s="344"/>
      <c r="L22" s="339"/>
      <c r="M22" s="341"/>
      <c r="N22" s="346"/>
      <c r="O22" s="339"/>
      <c r="P22" s="339"/>
      <c r="Q22" s="341"/>
      <c r="R22" s="342"/>
      <c r="S22" s="383"/>
      <c r="T22" s="363"/>
      <c r="U22" s="153"/>
      <c r="V22" s="173"/>
      <c r="W22" s="175" t="s">
        <v>34</v>
      </c>
      <c r="X22" s="175" t="s">
        <v>49</v>
      </c>
      <c r="Y22" s="175" t="s">
        <v>39</v>
      </c>
      <c r="Z22" s="175" t="s">
        <v>40</v>
      </c>
      <c r="AA22" s="175" t="s">
        <v>41</v>
      </c>
      <c r="AB22" s="175" t="s">
        <v>64</v>
      </c>
      <c r="AC22" s="75" t="s">
        <v>65</v>
      </c>
      <c r="AD22" s="75" t="s">
        <v>55</v>
      </c>
      <c r="AE22" s="75" t="s">
        <v>56</v>
      </c>
      <c r="AF22" s="75" t="s">
        <v>126</v>
      </c>
      <c r="AG22" s="75" t="s">
        <v>43</v>
      </c>
      <c r="AH22" s="75" t="s">
        <v>68</v>
      </c>
      <c r="AI22" s="75" t="s">
        <v>66</v>
      </c>
      <c r="AJ22" s="75" t="s">
        <v>67</v>
      </c>
      <c r="AK22" s="75" t="s">
        <v>62</v>
      </c>
      <c r="AL22" s="75" t="s">
        <v>63</v>
      </c>
      <c r="AM22" s="75" t="s">
        <v>44</v>
      </c>
      <c r="AN22" s="75" t="s">
        <v>50</v>
      </c>
      <c r="AO22" s="75" t="s">
        <v>51</v>
      </c>
      <c r="AP22" s="163"/>
      <c r="AQ22" s="163"/>
    </row>
    <row r="23" spans="1:43" ht="19.5" customHeight="1">
      <c r="A23" s="294" t="str">
        <f>A77</f>
        <v>G1-2 Green Roof</v>
      </c>
      <c r="B23" s="137"/>
      <c r="C23" s="146" t="s">
        <v>25</v>
      </c>
      <c r="D23" s="218"/>
      <c r="E23" s="146" t="s">
        <v>13</v>
      </c>
      <c r="F23" s="332"/>
      <c r="G23" s="319">
        <f>'Site Data'!$E$16/12*$B$17*F23*0.5</f>
        <v>0</v>
      </c>
      <c r="H23" s="376">
        <f>1.7/12*('Site Data'!$H$31*B23+'Site Data'!$H$32*B24+'Site Data'!$H$33*SUM(D23:D24))</f>
        <v>0</v>
      </c>
      <c r="I23" s="336" t="s">
        <v>35</v>
      </c>
      <c r="J23" s="337"/>
      <c r="K23" s="377">
        <v>1</v>
      </c>
      <c r="L23" s="378">
        <f>W67</f>
        <v>0</v>
      </c>
      <c r="M23" s="378">
        <f>H23+L23</f>
        <v>0</v>
      </c>
      <c r="N23" s="379" t="s">
        <v>11</v>
      </c>
      <c r="O23" s="380"/>
      <c r="P23" s="381">
        <f>IF(O23*K23&lt;=M23,O23*K23,M23)</f>
        <v>0</v>
      </c>
      <c r="Q23" s="378">
        <f>M23-P23</f>
        <v>0</v>
      </c>
      <c r="R23" s="379" t="s">
        <v>11</v>
      </c>
      <c r="S23" s="371"/>
      <c r="T23" s="364" t="str">
        <f>IF('Site Data'!$E$14="Yes",IF(F23&gt;0,IF(P23+IF(R23="N/A",0,R23)+IF(S23&lt;&gt;0,VLOOKUP(S23,$A$77:$B$97,2,FALSE),0)&gt;=G23,"Yes","No"),"N/A"),"N/A")</f>
        <v>N/A</v>
      </c>
      <c r="U23" s="3"/>
      <c r="V23" s="22"/>
      <c r="W23" s="197">
        <f t="shared" ref="W23:AO23" si="0">IF($S23=W$22,$Q23,0)</f>
        <v>0</v>
      </c>
      <c r="X23" s="197">
        <f t="shared" si="0"/>
        <v>0</v>
      </c>
      <c r="Y23" s="197">
        <f t="shared" si="0"/>
        <v>0</v>
      </c>
      <c r="Z23" s="197">
        <f t="shared" si="0"/>
        <v>0</v>
      </c>
      <c r="AA23" s="197">
        <f t="shared" si="0"/>
        <v>0</v>
      </c>
      <c r="AB23" s="197">
        <f t="shared" si="0"/>
        <v>0</v>
      </c>
      <c r="AC23" s="197">
        <f t="shared" si="0"/>
        <v>0</v>
      </c>
      <c r="AD23" s="197">
        <f t="shared" si="0"/>
        <v>0</v>
      </c>
      <c r="AE23" s="197">
        <f t="shared" si="0"/>
        <v>0</v>
      </c>
      <c r="AF23" s="197">
        <f t="shared" si="0"/>
        <v>0</v>
      </c>
      <c r="AG23" s="197">
        <f t="shared" si="0"/>
        <v>0</v>
      </c>
      <c r="AH23" s="197">
        <f t="shared" si="0"/>
        <v>0</v>
      </c>
      <c r="AI23" s="197">
        <f t="shared" si="0"/>
        <v>0</v>
      </c>
      <c r="AJ23" s="197">
        <f t="shared" si="0"/>
        <v>0</v>
      </c>
      <c r="AK23" s="197">
        <f t="shared" si="0"/>
        <v>0</v>
      </c>
      <c r="AL23" s="197">
        <f t="shared" si="0"/>
        <v>0</v>
      </c>
      <c r="AM23" s="197">
        <f t="shared" si="0"/>
        <v>0</v>
      </c>
      <c r="AN23" s="197">
        <f t="shared" si="0"/>
        <v>0</v>
      </c>
      <c r="AO23" s="197">
        <f t="shared" si="0"/>
        <v>0</v>
      </c>
      <c r="AP23" s="28"/>
    </row>
    <row r="24" spans="1:43" ht="19.5" customHeight="1" thickBot="1">
      <c r="A24" s="295"/>
      <c r="B24" s="137"/>
      <c r="C24" s="147" t="s">
        <v>32</v>
      </c>
      <c r="D24" s="219"/>
      <c r="E24" s="147" t="s">
        <v>85</v>
      </c>
      <c r="F24" s="333"/>
      <c r="G24" s="320"/>
      <c r="H24" s="297"/>
      <c r="I24" s="300"/>
      <c r="J24" s="301"/>
      <c r="K24" s="303"/>
      <c r="L24" s="305"/>
      <c r="M24" s="305"/>
      <c r="N24" s="307"/>
      <c r="O24" s="328"/>
      <c r="P24" s="318"/>
      <c r="Q24" s="305"/>
      <c r="R24" s="307"/>
      <c r="S24" s="375"/>
      <c r="T24" s="365"/>
      <c r="U24" s="3"/>
      <c r="V24" s="2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28"/>
    </row>
    <row r="25" spans="1:43" ht="19.5" customHeight="1">
      <c r="A25" s="294" t="str">
        <f>A78</f>
        <v>R1 Rainwater Harvesting</v>
      </c>
      <c r="B25" s="267"/>
      <c r="C25" s="146" t="s">
        <v>25</v>
      </c>
      <c r="D25" s="218"/>
      <c r="E25" s="146" t="s">
        <v>13</v>
      </c>
      <c r="F25" s="332"/>
      <c r="G25" s="319">
        <f>'Site Data'!$E$16/12*$B$17*F25*0.5</f>
        <v>0</v>
      </c>
      <c r="H25" s="296">
        <f>1.7/12*('Site Data'!$H$31*B25+'Site Data'!$H$32*B26+'Site Data'!$H$33*SUM(D25:D26))</f>
        <v>0</v>
      </c>
      <c r="I25" s="298" t="s">
        <v>179</v>
      </c>
      <c r="J25" s="299"/>
      <c r="K25" s="329">
        <v>0</v>
      </c>
      <c r="L25" s="304">
        <f>X67</f>
        <v>0</v>
      </c>
      <c r="M25" s="304">
        <f>H25+L25</f>
        <v>0</v>
      </c>
      <c r="N25" s="306" t="s">
        <v>11</v>
      </c>
      <c r="O25" s="306" t="s">
        <v>11</v>
      </c>
      <c r="P25" s="317">
        <f>M25*K25</f>
        <v>0</v>
      </c>
      <c r="Q25" s="304">
        <f>M25-P25</f>
        <v>0</v>
      </c>
      <c r="R25" s="306" t="s">
        <v>11</v>
      </c>
      <c r="S25" s="370"/>
      <c r="T25" s="364" t="str">
        <f>IF('Site Data'!$E$14="Yes",IF(F25&gt;0,IF(P25+IF(R25="N/A",0,R25)+IF(S25&lt;&gt;0,VLOOKUP(S25,$A$77:$B$97,2,FALSE),0)&gt;=G25,"Yes","No"),"N/A"),"N/A")</f>
        <v>N/A</v>
      </c>
      <c r="U25" s="3"/>
      <c r="V25" s="22"/>
      <c r="W25" s="197">
        <f t="shared" ref="W25:AO25" si="1">IF($S25=W$22,$Q25,0)</f>
        <v>0</v>
      </c>
      <c r="X25" s="197">
        <f t="shared" si="1"/>
        <v>0</v>
      </c>
      <c r="Y25" s="197">
        <f t="shared" si="1"/>
        <v>0</v>
      </c>
      <c r="Z25" s="197">
        <f t="shared" si="1"/>
        <v>0</v>
      </c>
      <c r="AA25" s="197">
        <f t="shared" si="1"/>
        <v>0</v>
      </c>
      <c r="AB25" s="197">
        <f t="shared" si="1"/>
        <v>0</v>
      </c>
      <c r="AC25" s="197">
        <f t="shared" si="1"/>
        <v>0</v>
      </c>
      <c r="AD25" s="197">
        <f t="shared" si="1"/>
        <v>0</v>
      </c>
      <c r="AE25" s="197">
        <f t="shared" si="1"/>
        <v>0</v>
      </c>
      <c r="AF25" s="197">
        <f t="shared" si="1"/>
        <v>0</v>
      </c>
      <c r="AG25" s="197">
        <f t="shared" si="1"/>
        <v>0</v>
      </c>
      <c r="AH25" s="197">
        <f t="shared" si="1"/>
        <v>0</v>
      </c>
      <c r="AI25" s="197">
        <f t="shared" si="1"/>
        <v>0</v>
      </c>
      <c r="AJ25" s="197">
        <f t="shared" si="1"/>
        <v>0</v>
      </c>
      <c r="AK25" s="197">
        <f t="shared" si="1"/>
        <v>0</v>
      </c>
      <c r="AL25" s="197">
        <f t="shared" si="1"/>
        <v>0</v>
      </c>
      <c r="AM25" s="197">
        <f t="shared" si="1"/>
        <v>0</v>
      </c>
      <c r="AN25" s="197">
        <f t="shared" si="1"/>
        <v>0</v>
      </c>
      <c r="AO25" s="197">
        <f t="shared" si="1"/>
        <v>0</v>
      </c>
    </row>
    <row r="26" spans="1:43" ht="19.5" customHeight="1" thickBot="1">
      <c r="A26" s="295"/>
      <c r="B26" s="268"/>
      <c r="C26" s="147" t="s">
        <v>32</v>
      </c>
      <c r="D26" s="219"/>
      <c r="E26" s="147" t="s">
        <v>85</v>
      </c>
      <c r="F26" s="333"/>
      <c r="G26" s="320"/>
      <c r="H26" s="297"/>
      <c r="I26" s="300"/>
      <c r="J26" s="301"/>
      <c r="K26" s="330"/>
      <c r="L26" s="305"/>
      <c r="M26" s="305"/>
      <c r="N26" s="307"/>
      <c r="O26" s="307"/>
      <c r="P26" s="318"/>
      <c r="Q26" s="305"/>
      <c r="R26" s="307"/>
      <c r="S26" s="375"/>
      <c r="T26" s="365"/>
      <c r="U26" s="3"/>
      <c r="V26" s="22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3" ht="19.5" customHeight="1">
      <c r="A27" s="294" t="str">
        <f>A79</f>
        <v>D1 Simple Disconnection to a Pervious Area</v>
      </c>
      <c r="B27" s="267"/>
      <c r="C27" s="146" t="s">
        <v>25</v>
      </c>
      <c r="D27" s="218"/>
      <c r="E27" s="146" t="s">
        <v>13</v>
      </c>
      <c r="F27" s="332"/>
      <c r="G27" s="319">
        <f>'Site Data'!$E$16/12*$B$17*F27*0.5</f>
        <v>0</v>
      </c>
      <c r="H27" s="296">
        <f>1.7/12*('Site Data'!$H$31*B27+'Site Data'!$H$32*B28+'Site Data'!$H$33*SUM(D27:D28))</f>
        <v>0</v>
      </c>
      <c r="I27" s="298" t="s">
        <v>36</v>
      </c>
      <c r="J27" s="299"/>
      <c r="K27" s="302" t="s">
        <v>11</v>
      </c>
      <c r="L27" s="304">
        <f>Y67</f>
        <v>0</v>
      </c>
      <c r="M27" s="304">
        <f>H27+L27</f>
        <v>0</v>
      </c>
      <c r="N27" s="327"/>
      <c r="O27" s="306" t="s">
        <v>11</v>
      </c>
      <c r="P27" s="317">
        <f>IF(N27*0.02&lt;=M27,N27*0.02,M27)</f>
        <v>0</v>
      </c>
      <c r="Q27" s="304">
        <f>M27-P27</f>
        <v>0</v>
      </c>
      <c r="R27" s="306" t="s">
        <v>11</v>
      </c>
      <c r="S27" s="370"/>
      <c r="T27" s="364" t="str">
        <f>IF('Site Data'!$E$14="Yes",IF(F27&gt;0,IF(P27+IF(R27="N/A",0,R27)+IF(S27&lt;&gt;0,VLOOKUP(S27,$A$77:$B$97,2,FALSE),0)&gt;=G27,"Yes","No"),"N/A"),"N/A")</f>
        <v>N/A</v>
      </c>
      <c r="U27" s="3"/>
      <c r="V27" s="22"/>
      <c r="W27" s="197">
        <f t="shared" ref="W27:AO27" si="2">IF($S27=W$22,$Q27,0)</f>
        <v>0</v>
      </c>
      <c r="X27" s="197">
        <f t="shared" si="2"/>
        <v>0</v>
      </c>
      <c r="Y27" s="197">
        <f t="shared" si="2"/>
        <v>0</v>
      </c>
      <c r="Z27" s="197">
        <f t="shared" si="2"/>
        <v>0</v>
      </c>
      <c r="AA27" s="197">
        <f t="shared" si="2"/>
        <v>0</v>
      </c>
      <c r="AB27" s="197">
        <f t="shared" si="2"/>
        <v>0</v>
      </c>
      <c r="AC27" s="197">
        <f t="shared" si="2"/>
        <v>0</v>
      </c>
      <c r="AD27" s="197">
        <f t="shared" si="2"/>
        <v>0</v>
      </c>
      <c r="AE27" s="197">
        <f t="shared" si="2"/>
        <v>0</v>
      </c>
      <c r="AF27" s="197">
        <f t="shared" si="2"/>
        <v>0</v>
      </c>
      <c r="AG27" s="197">
        <f t="shared" si="2"/>
        <v>0</v>
      </c>
      <c r="AH27" s="197">
        <f t="shared" si="2"/>
        <v>0</v>
      </c>
      <c r="AI27" s="197">
        <f t="shared" si="2"/>
        <v>0</v>
      </c>
      <c r="AJ27" s="197">
        <f t="shared" si="2"/>
        <v>0</v>
      </c>
      <c r="AK27" s="197">
        <f t="shared" si="2"/>
        <v>0</v>
      </c>
      <c r="AL27" s="197">
        <f t="shared" si="2"/>
        <v>0</v>
      </c>
      <c r="AM27" s="197">
        <f t="shared" si="2"/>
        <v>0</v>
      </c>
      <c r="AN27" s="197">
        <f t="shared" si="2"/>
        <v>0</v>
      </c>
      <c r="AO27" s="197">
        <f t="shared" si="2"/>
        <v>0</v>
      </c>
    </row>
    <row r="28" spans="1:43" ht="19.5" customHeight="1" thickBot="1">
      <c r="A28" s="295"/>
      <c r="B28" s="268"/>
      <c r="C28" s="147" t="s">
        <v>32</v>
      </c>
      <c r="D28" s="219"/>
      <c r="E28" s="147" t="s">
        <v>85</v>
      </c>
      <c r="F28" s="333"/>
      <c r="G28" s="320"/>
      <c r="H28" s="297"/>
      <c r="I28" s="300"/>
      <c r="J28" s="301"/>
      <c r="K28" s="303"/>
      <c r="L28" s="305"/>
      <c r="M28" s="305"/>
      <c r="N28" s="328"/>
      <c r="O28" s="307"/>
      <c r="P28" s="318"/>
      <c r="Q28" s="305"/>
      <c r="R28" s="307"/>
      <c r="S28" s="375"/>
      <c r="T28" s="365"/>
      <c r="U28" s="3"/>
      <c r="V28" s="22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</row>
    <row r="29" spans="1:43" ht="19.5" customHeight="1">
      <c r="A29" s="294" t="str">
        <f>A80</f>
        <v>D2 Simple Disconnection to a Conservation Area</v>
      </c>
      <c r="B29" s="267"/>
      <c r="C29" s="146" t="s">
        <v>25</v>
      </c>
      <c r="D29" s="218"/>
      <c r="E29" s="146" t="s">
        <v>13</v>
      </c>
      <c r="F29" s="332"/>
      <c r="G29" s="319">
        <f>'Site Data'!$E$16/12*$B$17*F29*0.5</f>
        <v>0</v>
      </c>
      <c r="H29" s="296">
        <f>1.7/12*('Site Data'!$H$31*B29+'Site Data'!$H$32*B30+'Site Data'!$H$33*SUM(D29:D30))</f>
        <v>0</v>
      </c>
      <c r="I29" s="298" t="s">
        <v>37</v>
      </c>
      <c r="J29" s="299"/>
      <c r="K29" s="302" t="s">
        <v>11</v>
      </c>
      <c r="L29" s="304">
        <f>Z67</f>
        <v>0</v>
      </c>
      <c r="M29" s="304">
        <f>H29+L29</f>
        <v>0</v>
      </c>
      <c r="N29" s="327"/>
      <c r="O29" s="306" t="s">
        <v>11</v>
      </c>
      <c r="P29" s="317">
        <f>IF(N29*0.06&lt;=M29,N29*0.06,M29)</f>
        <v>0</v>
      </c>
      <c r="Q29" s="304">
        <f>M29-P29</f>
        <v>0</v>
      </c>
      <c r="R29" s="306" t="s">
        <v>11</v>
      </c>
      <c r="S29" s="370"/>
      <c r="T29" s="364" t="str">
        <f>IF('Site Data'!$E$14="Yes",IF(F29&gt;0,IF(P29+IF(R29="N/A",0,R29)+IF(S29&lt;&gt;0,VLOOKUP(S29,$A$77:$B$97,2,FALSE),0)&gt;=G29,"Yes","No"),"N/A"),"N/A")</f>
        <v>N/A</v>
      </c>
      <c r="U29" s="3"/>
      <c r="V29" s="22"/>
      <c r="W29" s="197">
        <f t="shared" ref="W29:AO29" si="3">IF($S29=W$22,$Q29,0)</f>
        <v>0</v>
      </c>
      <c r="X29" s="197">
        <f t="shared" si="3"/>
        <v>0</v>
      </c>
      <c r="Y29" s="197">
        <f t="shared" si="3"/>
        <v>0</v>
      </c>
      <c r="Z29" s="197">
        <f t="shared" si="3"/>
        <v>0</v>
      </c>
      <c r="AA29" s="197">
        <f t="shared" si="3"/>
        <v>0</v>
      </c>
      <c r="AB29" s="197">
        <f t="shared" si="3"/>
        <v>0</v>
      </c>
      <c r="AC29" s="197">
        <f t="shared" si="3"/>
        <v>0</v>
      </c>
      <c r="AD29" s="197">
        <f t="shared" si="3"/>
        <v>0</v>
      </c>
      <c r="AE29" s="197">
        <f t="shared" si="3"/>
        <v>0</v>
      </c>
      <c r="AF29" s="197">
        <f t="shared" si="3"/>
        <v>0</v>
      </c>
      <c r="AG29" s="197">
        <f t="shared" si="3"/>
        <v>0</v>
      </c>
      <c r="AH29" s="197">
        <f t="shared" si="3"/>
        <v>0</v>
      </c>
      <c r="AI29" s="197">
        <f t="shared" si="3"/>
        <v>0</v>
      </c>
      <c r="AJ29" s="197">
        <f t="shared" si="3"/>
        <v>0</v>
      </c>
      <c r="AK29" s="197">
        <f t="shared" si="3"/>
        <v>0</v>
      </c>
      <c r="AL29" s="197">
        <f t="shared" si="3"/>
        <v>0</v>
      </c>
      <c r="AM29" s="197">
        <f t="shared" si="3"/>
        <v>0</v>
      </c>
      <c r="AN29" s="197">
        <f t="shared" si="3"/>
        <v>0</v>
      </c>
      <c r="AO29" s="197">
        <f t="shared" si="3"/>
        <v>0</v>
      </c>
    </row>
    <row r="30" spans="1:43" ht="19.5" customHeight="1" thickBot="1">
      <c r="A30" s="295"/>
      <c r="B30" s="268"/>
      <c r="C30" s="147" t="s">
        <v>32</v>
      </c>
      <c r="D30" s="219"/>
      <c r="E30" s="147" t="s">
        <v>85</v>
      </c>
      <c r="F30" s="333"/>
      <c r="G30" s="320"/>
      <c r="H30" s="297"/>
      <c r="I30" s="300"/>
      <c r="J30" s="301"/>
      <c r="K30" s="303"/>
      <c r="L30" s="305"/>
      <c r="M30" s="305"/>
      <c r="N30" s="328"/>
      <c r="O30" s="307"/>
      <c r="P30" s="318"/>
      <c r="Q30" s="305"/>
      <c r="R30" s="307"/>
      <c r="S30" s="375"/>
      <c r="T30" s="365"/>
      <c r="U30" s="3"/>
      <c r="V30" s="22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</row>
    <row r="31" spans="1:43" ht="19.5" customHeight="1">
      <c r="A31" s="294" t="str">
        <f>A81</f>
        <v>D3 Simple Disconnection to Amended Soils</v>
      </c>
      <c r="B31" s="267"/>
      <c r="C31" s="146" t="s">
        <v>25</v>
      </c>
      <c r="D31" s="218"/>
      <c r="E31" s="146" t="s">
        <v>13</v>
      </c>
      <c r="F31" s="332"/>
      <c r="G31" s="319">
        <f>'Site Data'!$E$16/12*$B$17*F31*0.5</f>
        <v>0</v>
      </c>
      <c r="H31" s="296">
        <f>1.7/12*('Site Data'!$H$31*B31+'Site Data'!$H$32*B32+'Site Data'!$H$33*SUM(D31:D32))</f>
        <v>0</v>
      </c>
      <c r="I31" s="298" t="s">
        <v>38</v>
      </c>
      <c r="J31" s="299"/>
      <c r="K31" s="302" t="s">
        <v>11</v>
      </c>
      <c r="L31" s="304">
        <f>AA67</f>
        <v>0</v>
      </c>
      <c r="M31" s="304">
        <f>H31+L31</f>
        <v>0</v>
      </c>
      <c r="N31" s="327"/>
      <c r="O31" s="306" t="s">
        <v>11</v>
      </c>
      <c r="P31" s="317">
        <f>IF(N31*0.04&lt;=M31,N31*0.04,M31)</f>
        <v>0</v>
      </c>
      <c r="Q31" s="304">
        <f>M31-P31</f>
        <v>0</v>
      </c>
      <c r="R31" s="306" t="s">
        <v>11</v>
      </c>
      <c r="S31" s="370"/>
      <c r="T31" s="364" t="str">
        <f>IF('Site Data'!$E$14="Yes",IF(F31&gt;0,IF(P31+IF(R31="N/A",0,R31)+IF(S31&lt;&gt;0,VLOOKUP(S31,$A$77:$B$97,2,FALSE),0)&gt;=G31,"Yes","No"),"N/A"),"N/A")</f>
        <v>N/A</v>
      </c>
      <c r="U31" s="3"/>
      <c r="V31" s="22"/>
      <c r="W31" s="197">
        <f t="shared" ref="W31:AO31" si="4">IF($S31=W$22,$Q31,0)</f>
        <v>0</v>
      </c>
      <c r="X31" s="197">
        <f t="shared" si="4"/>
        <v>0</v>
      </c>
      <c r="Y31" s="197">
        <f t="shared" si="4"/>
        <v>0</v>
      </c>
      <c r="Z31" s="197">
        <f t="shared" si="4"/>
        <v>0</v>
      </c>
      <c r="AA31" s="197">
        <f t="shared" si="4"/>
        <v>0</v>
      </c>
      <c r="AB31" s="197">
        <f t="shared" si="4"/>
        <v>0</v>
      </c>
      <c r="AC31" s="197">
        <f t="shared" si="4"/>
        <v>0</v>
      </c>
      <c r="AD31" s="197">
        <f t="shared" si="4"/>
        <v>0</v>
      </c>
      <c r="AE31" s="197">
        <f t="shared" si="4"/>
        <v>0</v>
      </c>
      <c r="AF31" s="197">
        <f t="shared" si="4"/>
        <v>0</v>
      </c>
      <c r="AG31" s="197">
        <f t="shared" si="4"/>
        <v>0</v>
      </c>
      <c r="AH31" s="197">
        <f t="shared" si="4"/>
        <v>0</v>
      </c>
      <c r="AI31" s="197">
        <f t="shared" si="4"/>
        <v>0</v>
      </c>
      <c r="AJ31" s="197">
        <f t="shared" si="4"/>
        <v>0</v>
      </c>
      <c r="AK31" s="197">
        <f t="shared" si="4"/>
        <v>0</v>
      </c>
      <c r="AL31" s="197">
        <f t="shared" si="4"/>
        <v>0</v>
      </c>
      <c r="AM31" s="197">
        <f t="shared" si="4"/>
        <v>0</v>
      </c>
      <c r="AN31" s="197">
        <f t="shared" si="4"/>
        <v>0</v>
      </c>
      <c r="AO31" s="197">
        <f t="shared" si="4"/>
        <v>0</v>
      </c>
    </row>
    <row r="32" spans="1:43" ht="19.5" customHeight="1" thickBot="1">
      <c r="A32" s="295"/>
      <c r="B32" s="268"/>
      <c r="C32" s="147" t="s">
        <v>32</v>
      </c>
      <c r="D32" s="219"/>
      <c r="E32" s="147" t="s">
        <v>85</v>
      </c>
      <c r="F32" s="333"/>
      <c r="G32" s="320"/>
      <c r="H32" s="297"/>
      <c r="I32" s="300"/>
      <c r="J32" s="301"/>
      <c r="K32" s="303"/>
      <c r="L32" s="305"/>
      <c r="M32" s="305"/>
      <c r="N32" s="328"/>
      <c r="O32" s="307"/>
      <c r="P32" s="318"/>
      <c r="Q32" s="305"/>
      <c r="R32" s="307"/>
      <c r="S32" s="375"/>
      <c r="T32" s="365"/>
      <c r="U32" s="3"/>
      <c r="V32" s="22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</row>
    <row r="33" spans="1:41">
      <c r="A33" s="294" t="str">
        <f>A82</f>
        <v>P1-3 Permeable Pavement - Enhanced</v>
      </c>
      <c r="B33" s="216"/>
      <c r="C33" s="146" t="s">
        <v>25</v>
      </c>
      <c r="D33" s="218"/>
      <c r="E33" s="146" t="s">
        <v>13</v>
      </c>
      <c r="F33" s="332"/>
      <c r="G33" s="319">
        <f>'Site Data'!$E$16/12*$B$17*F33*0.5</f>
        <v>0</v>
      </c>
      <c r="H33" s="296">
        <f>1.7/12*('Site Data'!$H$31*B33+'Site Data'!$H$32*B34+'Site Data'!$H$33*SUM(D33:D34))</f>
        <v>0</v>
      </c>
      <c r="I33" s="298" t="s">
        <v>42</v>
      </c>
      <c r="J33" s="299"/>
      <c r="K33" s="302">
        <v>1</v>
      </c>
      <c r="L33" s="304">
        <f>AB67</f>
        <v>0</v>
      </c>
      <c r="M33" s="304">
        <f>H33+L33</f>
        <v>0</v>
      </c>
      <c r="N33" s="306" t="s">
        <v>11</v>
      </c>
      <c r="O33" s="327"/>
      <c r="P33" s="317">
        <f>IF(O33*K33&lt;=M33,O33*K33,M33)</f>
        <v>0</v>
      </c>
      <c r="Q33" s="304">
        <f>M33-P33</f>
        <v>0</v>
      </c>
      <c r="R33" s="306">
        <f>IF(O33&lt;=0,0,MIN(O33,H33+L33)-P33)</f>
        <v>0</v>
      </c>
      <c r="S33" s="370"/>
      <c r="T33" s="364" t="str">
        <f>IF('Site Data'!$E$14="Yes",IF(F33&gt;0,IF(P33+IF(R33="N/A",0,R33)+IF(S33&lt;&gt;0,VLOOKUP(S33,$A$77:$B$97,2,FALSE),0)&gt;=G33,"Yes","No"),"N/A"),"N/A")</f>
        <v>N/A</v>
      </c>
      <c r="U33" s="3"/>
      <c r="V33" s="174"/>
      <c r="W33" s="197">
        <f t="shared" ref="W33:AO33" si="5">IF($S33=W$22,$Q33,0)</f>
        <v>0</v>
      </c>
      <c r="X33" s="197">
        <f t="shared" si="5"/>
        <v>0</v>
      </c>
      <c r="Y33" s="197">
        <f t="shared" si="5"/>
        <v>0</v>
      </c>
      <c r="Z33" s="197">
        <f t="shared" si="5"/>
        <v>0</v>
      </c>
      <c r="AA33" s="197">
        <f t="shared" si="5"/>
        <v>0</v>
      </c>
      <c r="AB33" s="197">
        <f t="shared" si="5"/>
        <v>0</v>
      </c>
      <c r="AC33" s="197">
        <f t="shared" si="5"/>
        <v>0</v>
      </c>
      <c r="AD33" s="197">
        <f t="shared" si="5"/>
        <v>0</v>
      </c>
      <c r="AE33" s="197">
        <f t="shared" si="5"/>
        <v>0</v>
      </c>
      <c r="AF33" s="197">
        <f t="shared" si="5"/>
        <v>0</v>
      </c>
      <c r="AG33" s="197">
        <f t="shared" si="5"/>
        <v>0</v>
      </c>
      <c r="AH33" s="197">
        <f t="shared" si="5"/>
        <v>0</v>
      </c>
      <c r="AI33" s="197">
        <f t="shared" si="5"/>
        <v>0</v>
      </c>
      <c r="AJ33" s="197">
        <f t="shared" si="5"/>
        <v>0</v>
      </c>
      <c r="AK33" s="197">
        <f t="shared" si="5"/>
        <v>0</v>
      </c>
      <c r="AL33" s="197">
        <f t="shared" si="5"/>
        <v>0</v>
      </c>
      <c r="AM33" s="197">
        <f t="shared" si="5"/>
        <v>0</v>
      </c>
      <c r="AN33" s="197">
        <f t="shared" si="5"/>
        <v>0</v>
      </c>
      <c r="AO33" s="197">
        <f t="shared" si="5"/>
        <v>0</v>
      </c>
    </row>
    <row r="34" spans="1:41" ht="13.5" thickBot="1">
      <c r="A34" s="295"/>
      <c r="B34" s="217"/>
      <c r="C34" s="147" t="s">
        <v>32</v>
      </c>
      <c r="D34" s="219"/>
      <c r="E34" s="147" t="s">
        <v>85</v>
      </c>
      <c r="F34" s="333"/>
      <c r="G34" s="320"/>
      <c r="H34" s="297"/>
      <c r="I34" s="300"/>
      <c r="J34" s="301"/>
      <c r="K34" s="303"/>
      <c r="L34" s="305"/>
      <c r="M34" s="305"/>
      <c r="N34" s="307"/>
      <c r="O34" s="328"/>
      <c r="P34" s="318"/>
      <c r="Q34" s="305"/>
      <c r="R34" s="307"/>
      <c r="S34" s="375"/>
      <c r="T34" s="365"/>
      <c r="U34" s="3"/>
      <c r="V34" s="22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</row>
    <row r="35" spans="1:41">
      <c r="A35" s="294" t="str">
        <f>A83</f>
        <v>P1-3 Permeable Pavement - Standard</v>
      </c>
      <c r="B35" s="216"/>
      <c r="C35" s="146" t="s">
        <v>25</v>
      </c>
      <c r="D35" s="218"/>
      <c r="E35" s="146" t="s">
        <v>13</v>
      </c>
      <c r="F35" s="332"/>
      <c r="G35" s="319">
        <f>'Site Data'!$E$16/12*$B$17*F35*0.5</f>
        <v>0</v>
      </c>
      <c r="H35" s="296">
        <f>1.7/12*('Site Data'!$H$31*B35+'Site Data'!$H$32*B36+'Site Data'!$H$33*SUM(D35:D36))</f>
        <v>0</v>
      </c>
      <c r="I35" s="298" t="s">
        <v>57</v>
      </c>
      <c r="J35" s="299"/>
      <c r="K35" s="302" t="s">
        <v>11</v>
      </c>
      <c r="L35" s="304">
        <f>AC67</f>
        <v>0</v>
      </c>
      <c r="M35" s="304">
        <f>H35+L35</f>
        <v>0</v>
      </c>
      <c r="N35" s="327"/>
      <c r="O35" s="327"/>
      <c r="P35" s="317">
        <f>IF(N35*0.045&lt;=M35,N35*0.045,M35)</f>
        <v>0</v>
      </c>
      <c r="Q35" s="304">
        <f>M35-P35</f>
        <v>0</v>
      </c>
      <c r="R35" s="306">
        <f>IF(O35&lt;=0,0,MIN(O35,H35+L35)-P35)</f>
        <v>0</v>
      </c>
      <c r="S35" s="370"/>
      <c r="T35" s="364" t="str">
        <f>IF('Site Data'!$E$14="Yes",IF(F35&gt;0,IF(P35+IF(R35="N/A",0,R35)+IF(S35&lt;&gt;0,VLOOKUP(S35,$A$77:$B$97,2,FALSE),0)&gt;=G35,"Yes","No"),"N/A"),"N/A")</f>
        <v>N/A</v>
      </c>
      <c r="U35" s="3"/>
      <c r="V35" s="174"/>
      <c r="W35" s="197">
        <f t="shared" ref="W35:AO35" si="6">IF($S35=W$22,$Q35,0)</f>
        <v>0</v>
      </c>
      <c r="X35" s="197">
        <f t="shared" si="6"/>
        <v>0</v>
      </c>
      <c r="Y35" s="197">
        <f t="shared" si="6"/>
        <v>0</v>
      </c>
      <c r="Z35" s="197">
        <f t="shared" si="6"/>
        <v>0</v>
      </c>
      <c r="AA35" s="197">
        <f t="shared" si="6"/>
        <v>0</v>
      </c>
      <c r="AB35" s="197">
        <f t="shared" si="6"/>
        <v>0</v>
      </c>
      <c r="AC35" s="197">
        <f t="shared" si="6"/>
        <v>0</v>
      </c>
      <c r="AD35" s="197">
        <f t="shared" si="6"/>
        <v>0</v>
      </c>
      <c r="AE35" s="197">
        <f t="shared" si="6"/>
        <v>0</v>
      </c>
      <c r="AF35" s="197">
        <f t="shared" si="6"/>
        <v>0</v>
      </c>
      <c r="AG35" s="197">
        <f t="shared" si="6"/>
        <v>0</v>
      </c>
      <c r="AH35" s="197">
        <f t="shared" si="6"/>
        <v>0</v>
      </c>
      <c r="AI35" s="197">
        <f t="shared" si="6"/>
        <v>0</v>
      </c>
      <c r="AJ35" s="197">
        <f t="shared" si="6"/>
        <v>0</v>
      </c>
      <c r="AK35" s="197">
        <f t="shared" si="6"/>
        <v>0</v>
      </c>
      <c r="AL35" s="197">
        <f t="shared" si="6"/>
        <v>0</v>
      </c>
      <c r="AM35" s="197">
        <f t="shared" si="6"/>
        <v>0</v>
      </c>
      <c r="AN35" s="197">
        <f t="shared" si="6"/>
        <v>0</v>
      </c>
      <c r="AO35" s="197">
        <f t="shared" si="6"/>
        <v>0</v>
      </c>
    </row>
    <row r="36" spans="1:41" ht="13.5" thickBot="1">
      <c r="A36" s="295"/>
      <c r="B36" s="217"/>
      <c r="C36" s="147" t="s">
        <v>32</v>
      </c>
      <c r="D36" s="219"/>
      <c r="E36" s="147" t="s">
        <v>85</v>
      </c>
      <c r="F36" s="333"/>
      <c r="G36" s="320"/>
      <c r="H36" s="297"/>
      <c r="I36" s="300"/>
      <c r="J36" s="301"/>
      <c r="K36" s="303"/>
      <c r="L36" s="305"/>
      <c r="M36" s="305"/>
      <c r="N36" s="328"/>
      <c r="O36" s="328"/>
      <c r="P36" s="318"/>
      <c r="Q36" s="305"/>
      <c r="R36" s="307"/>
      <c r="S36" s="375"/>
      <c r="T36" s="365"/>
      <c r="U36" s="3"/>
      <c r="V36" s="22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</row>
    <row r="37" spans="1:41">
      <c r="A37" s="294" t="str">
        <f>A84</f>
        <v>B1-5 Bioretention - Enhanced</v>
      </c>
      <c r="B37" s="216"/>
      <c r="C37" s="146" t="s">
        <v>25</v>
      </c>
      <c r="D37" s="218"/>
      <c r="E37" s="146" t="s">
        <v>13</v>
      </c>
      <c r="F37" s="332"/>
      <c r="G37" s="319">
        <f>'Site Data'!$E$16/12*$B$17*F37*0.5</f>
        <v>0</v>
      </c>
      <c r="H37" s="296">
        <f>1.7/12*('Site Data'!$H$31*B37+'Site Data'!$H$32*B38+'Site Data'!$H$33*SUM(D37:D38))</f>
        <v>0</v>
      </c>
      <c r="I37" s="298" t="s">
        <v>180</v>
      </c>
      <c r="J37" s="299"/>
      <c r="K37" s="302">
        <v>1</v>
      </c>
      <c r="L37" s="304">
        <f>AD67</f>
        <v>0</v>
      </c>
      <c r="M37" s="304">
        <f>H37+L37</f>
        <v>0</v>
      </c>
      <c r="N37" s="306" t="s">
        <v>11</v>
      </c>
      <c r="O37" s="327"/>
      <c r="P37" s="317">
        <f>IF(O37*K37&lt;=M37,O37*K37,M37)</f>
        <v>0</v>
      </c>
      <c r="Q37" s="304">
        <f>M37-P37</f>
        <v>0</v>
      </c>
      <c r="R37" s="306">
        <f>IF(O37&lt;=0,0,MIN(O37,H37+L37)-P37)</f>
        <v>0</v>
      </c>
      <c r="S37" s="370"/>
      <c r="T37" s="364" t="str">
        <f>IF('Site Data'!$E$14="Yes",IF(F37&gt;0,IF(P37+IF(R37="N/A",0,R37)+IF(S37&lt;&gt;0,VLOOKUP(S37,$A$77:$B$97,2,FALSE),0)&gt;=G37,"Yes","No"),"N/A"),"N/A")</f>
        <v>N/A</v>
      </c>
      <c r="U37" s="3"/>
      <c r="V37" s="174"/>
      <c r="W37" s="197">
        <f t="shared" ref="W37:AO37" si="7">IF($S37=W$22,$Q37,0)</f>
        <v>0</v>
      </c>
      <c r="X37" s="197">
        <f t="shared" si="7"/>
        <v>0</v>
      </c>
      <c r="Y37" s="197">
        <f t="shared" si="7"/>
        <v>0</v>
      </c>
      <c r="Z37" s="197">
        <f t="shared" si="7"/>
        <v>0</v>
      </c>
      <c r="AA37" s="197">
        <f t="shared" si="7"/>
        <v>0</v>
      </c>
      <c r="AB37" s="197">
        <f t="shared" si="7"/>
        <v>0</v>
      </c>
      <c r="AC37" s="197">
        <f t="shared" si="7"/>
        <v>0</v>
      </c>
      <c r="AD37" s="197">
        <f t="shared" si="7"/>
        <v>0</v>
      </c>
      <c r="AE37" s="197">
        <f t="shared" si="7"/>
        <v>0</v>
      </c>
      <c r="AF37" s="197">
        <f t="shared" si="7"/>
        <v>0</v>
      </c>
      <c r="AG37" s="197">
        <f t="shared" si="7"/>
        <v>0</v>
      </c>
      <c r="AH37" s="197">
        <f t="shared" si="7"/>
        <v>0</v>
      </c>
      <c r="AI37" s="197">
        <f t="shared" si="7"/>
        <v>0</v>
      </c>
      <c r="AJ37" s="197">
        <f t="shared" si="7"/>
        <v>0</v>
      </c>
      <c r="AK37" s="197">
        <f t="shared" si="7"/>
        <v>0</v>
      </c>
      <c r="AL37" s="197">
        <f t="shared" si="7"/>
        <v>0</v>
      </c>
      <c r="AM37" s="197">
        <f t="shared" si="7"/>
        <v>0</v>
      </c>
      <c r="AN37" s="197">
        <f t="shared" si="7"/>
        <v>0</v>
      </c>
      <c r="AO37" s="197">
        <f t="shared" si="7"/>
        <v>0</v>
      </c>
    </row>
    <row r="38" spans="1:41" ht="13.5" thickBot="1">
      <c r="A38" s="295"/>
      <c r="B38" s="217"/>
      <c r="C38" s="147" t="s">
        <v>32</v>
      </c>
      <c r="D38" s="219"/>
      <c r="E38" s="147" t="s">
        <v>85</v>
      </c>
      <c r="F38" s="333"/>
      <c r="G38" s="320"/>
      <c r="H38" s="297"/>
      <c r="I38" s="300"/>
      <c r="J38" s="301"/>
      <c r="K38" s="303"/>
      <c r="L38" s="305"/>
      <c r="M38" s="305"/>
      <c r="N38" s="307"/>
      <c r="O38" s="328"/>
      <c r="P38" s="318"/>
      <c r="Q38" s="305"/>
      <c r="R38" s="307"/>
      <c r="S38" s="375"/>
      <c r="T38" s="365"/>
      <c r="U38" s="3"/>
      <c r="V38" s="22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</row>
    <row r="39" spans="1:41">
      <c r="A39" s="294" t="str">
        <f>A85</f>
        <v>B1-5 Bioretention - Standard</v>
      </c>
      <c r="B39" s="216"/>
      <c r="C39" s="146" t="s">
        <v>25</v>
      </c>
      <c r="D39" s="218"/>
      <c r="E39" s="146" t="s">
        <v>13</v>
      </c>
      <c r="F39" s="332"/>
      <c r="G39" s="319">
        <f>'Site Data'!$E$16/12*$B$17*F39*0.5</f>
        <v>0</v>
      </c>
      <c r="H39" s="296">
        <f>1.7/12*('Site Data'!$H$31*B39+'Site Data'!$H$32*B40+'Site Data'!$H$33*SUM(D39:D40))</f>
        <v>0</v>
      </c>
      <c r="I39" s="298" t="s">
        <v>181</v>
      </c>
      <c r="J39" s="299"/>
      <c r="K39" s="302">
        <v>0.6</v>
      </c>
      <c r="L39" s="304">
        <f>AE67</f>
        <v>0</v>
      </c>
      <c r="M39" s="304">
        <f>H39+L39</f>
        <v>0</v>
      </c>
      <c r="N39" s="306" t="s">
        <v>11</v>
      </c>
      <c r="O39" s="327"/>
      <c r="P39" s="317">
        <f>IF(O39*K39&lt;=M39,O39*K39,M39)</f>
        <v>0</v>
      </c>
      <c r="Q39" s="304">
        <f>M39-P39</f>
        <v>0</v>
      </c>
      <c r="R39" s="306">
        <f>IF(O39&lt;=0,0,MIN(O39,H39+L39)-P39)</f>
        <v>0</v>
      </c>
      <c r="S39" s="370"/>
      <c r="T39" s="364" t="str">
        <f>IF('Site Data'!$E$14="Yes",IF(F39&gt;0,IF(P39+IF(R39="N/A",0,R39)+IF(S39&lt;&gt;0,VLOOKUP(S39,$A$77:$B$97,2,FALSE),0)&gt;=G39,"Yes","No"),"N/A"),"N/A")</f>
        <v>N/A</v>
      </c>
      <c r="U39" s="3"/>
      <c r="V39" s="174"/>
      <c r="W39" s="197">
        <f t="shared" ref="W39:AO39" si="8">IF($S39=W$22,$Q39,0)</f>
        <v>0</v>
      </c>
      <c r="X39" s="197">
        <f t="shared" si="8"/>
        <v>0</v>
      </c>
      <c r="Y39" s="197">
        <f t="shared" si="8"/>
        <v>0</v>
      </c>
      <c r="Z39" s="197">
        <f t="shared" si="8"/>
        <v>0</v>
      </c>
      <c r="AA39" s="197">
        <f t="shared" si="8"/>
        <v>0</v>
      </c>
      <c r="AB39" s="197">
        <f t="shared" si="8"/>
        <v>0</v>
      </c>
      <c r="AC39" s="197">
        <f t="shared" si="8"/>
        <v>0</v>
      </c>
      <c r="AD39" s="197">
        <f t="shared" si="8"/>
        <v>0</v>
      </c>
      <c r="AE39" s="197">
        <f t="shared" si="8"/>
        <v>0</v>
      </c>
      <c r="AF39" s="197">
        <f t="shared" si="8"/>
        <v>0</v>
      </c>
      <c r="AG39" s="197">
        <f t="shared" si="8"/>
        <v>0</v>
      </c>
      <c r="AH39" s="197">
        <f t="shared" si="8"/>
        <v>0</v>
      </c>
      <c r="AI39" s="197">
        <f t="shared" si="8"/>
        <v>0</v>
      </c>
      <c r="AJ39" s="197">
        <f t="shared" si="8"/>
        <v>0</v>
      </c>
      <c r="AK39" s="197">
        <f t="shared" si="8"/>
        <v>0</v>
      </c>
      <c r="AL39" s="197">
        <f t="shared" si="8"/>
        <v>0</v>
      </c>
      <c r="AM39" s="197">
        <f t="shared" si="8"/>
        <v>0</v>
      </c>
      <c r="AN39" s="197">
        <f t="shared" si="8"/>
        <v>0</v>
      </c>
      <c r="AO39" s="197">
        <f t="shared" si="8"/>
        <v>0</v>
      </c>
    </row>
    <row r="40" spans="1:41" ht="13.5" thickBot="1">
      <c r="A40" s="295"/>
      <c r="B40" s="217"/>
      <c r="C40" s="147" t="s">
        <v>32</v>
      </c>
      <c r="D40" s="219"/>
      <c r="E40" s="147" t="s">
        <v>85</v>
      </c>
      <c r="F40" s="333"/>
      <c r="G40" s="320"/>
      <c r="H40" s="297"/>
      <c r="I40" s="300"/>
      <c r="J40" s="301"/>
      <c r="K40" s="303"/>
      <c r="L40" s="305"/>
      <c r="M40" s="305"/>
      <c r="N40" s="307"/>
      <c r="O40" s="328"/>
      <c r="P40" s="318"/>
      <c r="Q40" s="305"/>
      <c r="R40" s="307"/>
      <c r="S40" s="375"/>
      <c r="T40" s="365"/>
      <c r="U40" s="3"/>
      <c r="V40" s="22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</row>
    <row r="41" spans="1:41">
      <c r="A41" s="294" t="str">
        <f>A86</f>
        <v>F1-4 Stormwater Filtering Systems</v>
      </c>
      <c r="B41" s="216"/>
      <c r="C41" s="146" t="s">
        <v>25</v>
      </c>
      <c r="D41" s="218"/>
      <c r="E41" s="146" t="s">
        <v>13</v>
      </c>
      <c r="F41" s="332"/>
      <c r="G41" s="319">
        <f>'Site Data'!$E$16/12*$B$17*F41*0.5</f>
        <v>0</v>
      </c>
      <c r="H41" s="296">
        <f>1.7/12*('Site Data'!$H$31*B41+'Site Data'!$H$32*B42+'Site Data'!$H$33*SUM(D41:D42))</f>
        <v>0</v>
      </c>
      <c r="I41" s="298" t="s">
        <v>48</v>
      </c>
      <c r="J41" s="299"/>
      <c r="K41" s="302">
        <v>0</v>
      </c>
      <c r="L41" s="304">
        <f>AF67</f>
        <v>0</v>
      </c>
      <c r="M41" s="304">
        <f>H41+L41</f>
        <v>0</v>
      </c>
      <c r="N41" s="306" t="s">
        <v>11</v>
      </c>
      <c r="O41" s="327"/>
      <c r="P41" s="317">
        <f>IF(O41*K41&lt;=M41,O41*K41,M41)</f>
        <v>0</v>
      </c>
      <c r="Q41" s="304">
        <f>M41-P41</f>
        <v>0</v>
      </c>
      <c r="R41" s="306">
        <f>IF(O41&lt;=0,0,MIN(O41,H41+L41)-P41)</f>
        <v>0</v>
      </c>
      <c r="S41" s="370"/>
      <c r="T41" s="364" t="str">
        <f>IF('Site Data'!$E$14="Yes",IF(F41&gt;0,IF(P41+IF(R41="N/A",0,R41)+IF(S41&lt;&gt;0,VLOOKUP(S41,$A$77:$B$97,2,FALSE),0)&gt;=G41,"Yes","No"),"N/A"),"N/A")</f>
        <v>N/A</v>
      </c>
      <c r="U41" s="3"/>
      <c r="V41" s="174"/>
      <c r="W41" s="197">
        <f t="shared" ref="W41:AO41" si="9">IF($S41=W$22,$Q41,0)</f>
        <v>0</v>
      </c>
      <c r="X41" s="197">
        <f t="shared" si="9"/>
        <v>0</v>
      </c>
      <c r="Y41" s="197">
        <f t="shared" si="9"/>
        <v>0</v>
      </c>
      <c r="Z41" s="197">
        <f t="shared" si="9"/>
        <v>0</v>
      </c>
      <c r="AA41" s="197">
        <f t="shared" si="9"/>
        <v>0</v>
      </c>
      <c r="AB41" s="197">
        <f t="shared" si="9"/>
        <v>0</v>
      </c>
      <c r="AC41" s="197">
        <f t="shared" si="9"/>
        <v>0</v>
      </c>
      <c r="AD41" s="197">
        <f t="shared" si="9"/>
        <v>0</v>
      </c>
      <c r="AE41" s="197">
        <f t="shared" si="9"/>
        <v>0</v>
      </c>
      <c r="AF41" s="197">
        <f t="shared" si="9"/>
        <v>0</v>
      </c>
      <c r="AG41" s="197">
        <f t="shared" si="9"/>
        <v>0</v>
      </c>
      <c r="AH41" s="197">
        <f t="shared" si="9"/>
        <v>0</v>
      </c>
      <c r="AI41" s="197">
        <f t="shared" si="9"/>
        <v>0</v>
      </c>
      <c r="AJ41" s="197">
        <f t="shared" si="9"/>
        <v>0</v>
      </c>
      <c r="AK41" s="197">
        <f t="shared" si="9"/>
        <v>0</v>
      </c>
      <c r="AL41" s="197">
        <f t="shared" si="9"/>
        <v>0</v>
      </c>
      <c r="AM41" s="197">
        <f t="shared" si="9"/>
        <v>0</v>
      </c>
      <c r="AN41" s="197">
        <f t="shared" si="9"/>
        <v>0</v>
      </c>
      <c r="AO41" s="197">
        <f t="shared" si="9"/>
        <v>0</v>
      </c>
    </row>
    <row r="42" spans="1:41" ht="13.5" thickBot="1">
      <c r="A42" s="295"/>
      <c r="B42" s="217"/>
      <c r="C42" s="147" t="s">
        <v>32</v>
      </c>
      <c r="D42" s="219"/>
      <c r="E42" s="147" t="s">
        <v>85</v>
      </c>
      <c r="F42" s="333"/>
      <c r="G42" s="320"/>
      <c r="H42" s="297"/>
      <c r="I42" s="300"/>
      <c r="J42" s="301"/>
      <c r="K42" s="303"/>
      <c r="L42" s="305"/>
      <c r="M42" s="305"/>
      <c r="N42" s="307"/>
      <c r="O42" s="328"/>
      <c r="P42" s="318"/>
      <c r="Q42" s="305"/>
      <c r="R42" s="307"/>
      <c r="S42" s="375"/>
      <c r="T42" s="365"/>
      <c r="U42" s="3"/>
      <c r="V42" s="22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</row>
    <row r="43" spans="1:41">
      <c r="A43" s="294" t="str">
        <f>A87</f>
        <v>I1-2 Stormwater Infiltration</v>
      </c>
      <c r="B43" s="216"/>
      <c r="C43" s="146" t="s">
        <v>25</v>
      </c>
      <c r="D43" s="218"/>
      <c r="E43" s="146" t="s">
        <v>13</v>
      </c>
      <c r="F43" s="332"/>
      <c r="G43" s="319">
        <f>'Site Data'!$E$16/12*$B$17*F43*0.5</f>
        <v>0</v>
      </c>
      <c r="H43" s="296">
        <f>1.7/12*('Site Data'!$H$31*B43+'Site Data'!$H$32*B44+'Site Data'!$H$33*SUM(D43:D44))</f>
        <v>0</v>
      </c>
      <c r="I43" s="298" t="s">
        <v>180</v>
      </c>
      <c r="J43" s="299"/>
      <c r="K43" s="302">
        <v>1</v>
      </c>
      <c r="L43" s="304">
        <f>AG67</f>
        <v>0</v>
      </c>
      <c r="M43" s="304">
        <f>H43+L43</f>
        <v>0</v>
      </c>
      <c r="N43" s="306" t="s">
        <v>11</v>
      </c>
      <c r="O43" s="327"/>
      <c r="P43" s="317">
        <f>IF(O43*K43&lt;=M43,O43*K43,M43)</f>
        <v>0</v>
      </c>
      <c r="Q43" s="304">
        <f>M43-P43</f>
        <v>0</v>
      </c>
      <c r="R43" s="306" t="s">
        <v>11</v>
      </c>
      <c r="S43" s="370"/>
      <c r="T43" s="364" t="str">
        <f>IF('Site Data'!$E$14="Yes",IF(F43&gt;0,IF(P43+IF(R43="N/A",0,R43)+IF(S43&lt;&gt;0,VLOOKUP(S43,$A$77:$B$97,2,FALSE),0)&gt;=G43,"Yes","No"),"N/A"),"N/A")</f>
        <v>N/A</v>
      </c>
      <c r="U43" s="3"/>
      <c r="V43" s="174"/>
      <c r="W43" s="197">
        <f t="shared" ref="W43:AO43" si="10">IF($S43=W$22,$Q43,0)</f>
        <v>0</v>
      </c>
      <c r="X43" s="197">
        <f t="shared" si="10"/>
        <v>0</v>
      </c>
      <c r="Y43" s="197">
        <f t="shared" si="10"/>
        <v>0</v>
      </c>
      <c r="Z43" s="197">
        <f t="shared" si="10"/>
        <v>0</v>
      </c>
      <c r="AA43" s="197">
        <f t="shared" si="10"/>
        <v>0</v>
      </c>
      <c r="AB43" s="197">
        <f t="shared" si="10"/>
        <v>0</v>
      </c>
      <c r="AC43" s="197">
        <f t="shared" si="10"/>
        <v>0</v>
      </c>
      <c r="AD43" s="197">
        <f t="shared" si="10"/>
        <v>0</v>
      </c>
      <c r="AE43" s="197">
        <f t="shared" si="10"/>
        <v>0</v>
      </c>
      <c r="AF43" s="197">
        <f t="shared" si="10"/>
        <v>0</v>
      </c>
      <c r="AG43" s="197">
        <f t="shared" si="10"/>
        <v>0</v>
      </c>
      <c r="AH43" s="197">
        <f t="shared" si="10"/>
        <v>0</v>
      </c>
      <c r="AI43" s="197">
        <f t="shared" si="10"/>
        <v>0</v>
      </c>
      <c r="AJ43" s="197">
        <f t="shared" si="10"/>
        <v>0</v>
      </c>
      <c r="AK43" s="197">
        <f t="shared" si="10"/>
        <v>0</v>
      </c>
      <c r="AL43" s="197">
        <f t="shared" si="10"/>
        <v>0</v>
      </c>
      <c r="AM43" s="197">
        <f t="shared" si="10"/>
        <v>0</v>
      </c>
      <c r="AN43" s="197">
        <f t="shared" si="10"/>
        <v>0</v>
      </c>
      <c r="AO43" s="197">
        <f t="shared" si="10"/>
        <v>0</v>
      </c>
    </row>
    <row r="44" spans="1:41" ht="13.5" thickBot="1">
      <c r="A44" s="295"/>
      <c r="B44" s="217"/>
      <c r="C44" s="147" t="s">
        <v>32</v>
      </c>
      <c r="D44" s="219"/>
      <c r="E44" s="147" t="s">
        <v>85</v>
      </c>
      <c r="F44" s="333"/>
      <c r="G44" s="320"/>
      <c r="H44" s="297"/>
      <c r="I44" s="300"/>
      <c r="J44" s="301"/>
      <c r="K44" s="303"/>
      <c r="L44" s="305"/>
      <c r="M44" s="305"/>
      <c r="N44" s="307"/>
      <c r="O44" s="328"/>
      <c r="P44" s="318"/>
      <c r="Q44" s="305"/>
      <c r="R44" s="307"/>
      <c r="S44" s="375"/>
      <c r="T44" s="365"/>
      <c r="U44" s="3"/>
      <c r="V44" s="22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</row>
    <row r="45" spans="1:41">
      <c r="A45" s="294" t="str">
        <f>A88</f>
        <v>S1-3 Storage</v>
      </c>
      <c r="B45" s="216"/>
      <c r="C45" s="146" t="s">
        <v>25</v>
      </c>
      <c r="D45" s="218"/>
      <c r="E45" s="146" t="s">
        <v>13</v>
      </c>
      <c r="F45" s="332"/>
      <c r="G45" s="319">
        <f>'Site Data'!$E$16/12*$B$17*F45*0.5</f>
        <v>0</v>
      </c>
      <c r="H45" s="296">
        <f>1.7/12*('Site Data'!$H$31*B45+'Site Data'!$H$32*B46+'Site Data'!$H$33*SUM(D45:D46))</f>
        <v>0</v>
      </c>
      <c r="I45" s="298" t="s">
        <v>48</v>
      </c>
      <c r="J45" s="299"/>
      <c r="K45" s="302">
        <v>0</v>
      </c>
      <c r="L45" s="304">
        <f>AH67</f>
        <v>0</v>
      </c>
      <c r="M45" s="304">
        <f>H45+L45</f>
        <v>0</v>
      </c>
      <c r="N45" s="306" t="s">
        <v>11</v>
      </c>
      <c r="O45" s="327"/>
      <c r="P45" s="317">
        <f>IF(O45*K45&lt;=M45,O45*K45,M45)</f>
        <v>0</v>
      </c>
      <c r="Q45" s="304">
        <f>M45-P45</f>
        <v>0</v>
      </c>
      <c r="R45" s="306" t="s">
        <v>11</v>
      </c>
      <c r="S45" s="370"/>
      <c r="T45" s="364" t="str">
        <f>IF('Site Data'!$E$14="Yes",IF(F45&gt;0,IF(P45+IF(R45="N/A",0,R45)+IF(S45&lt;&gt;0,VLOOKUP(S45,$A$77:$B$97,2,FALSE),0)&gt;=G45,"Yes","No"),"N/A"),"N/A")</f>
        <v>N/A</v>
      </c>
      <c r="U45" s="3"/>
      <c r="V45" s="174"/>
      <c r="W45" s="197">
        <f t="shared" ref="W45:AO45" si="11">IF($S45=W$22,$Q45,0)</f>
        <v>0</v>
      </c>
      <c r="X45" s="197">
        <f t="shared" si="11"/>
        <v>0</v>
      </c>
      <c r="Y45" s="197">
        <f t="shared" si="11"/>
        <v>0</v>
      </c>
      <c r="Z45" s="197">
        <f t="shared" si="11"/>
        <v>0</v>
      </c>
      <c r="AA45" s="197">
        <f t="shared" si="11"/>
        <v>0</v>
      </c>
      <c r="AB45" s="197">
        <f t="shared" si="11"/>
        <v>0</v>
      </c>
      <c r="AC45" s="197">
        <f t="shared" si="11"/>
        <v>0</v>
      </c>
      <c r="AD45" s="197">
        <f t="shared" si="11"/>
        <v>0</v>
      </c>
      <c r="AE45" s="197">
        <f t="shared" si="11"/>
        <v>0</v>
      </c>
      <c r="AF45" s="197">
        <f t="shared" si="11"/>
        <v>0</v>
      </c>
      <c r="AG45" s="197">
        <f t="shared" si="11"/>
        <v>0</v>
      </c>
      <c r="AH45" s="197">
        <f t="shared" si="11"/>
        <v>0</v>
      </c>
      <c r="AI45" s="197">
        <f t="shared" si="11"/>
        <v>0</v>
      </c>
      <c r="AJ45" s="197">
        <f t="shared" si="11"/>
        <v>0</v>
      </c>
      <c r="AK45" s="197">
        <f t="shared" si="11"/>
        <v>0</v>
      </c>
      <c r="AL45" s="197">
        <f t="shared" si="11"/>
        <v>0</v>
      </c>
      <c r="AM45" s="197">
        <f t="shared" si="11"/>
        <v>0</v>
      </c>
      <c r="AN45" s="197">
        <f t="shared" si="11"/>
        <v>0</v>
      </c>
      <c r="AO45" s="197">
        <f t="shared" si="11"/>
        <v>0</v>
      </c>
    </row>
    <row r="46" spans="1:41" ht="13.5" thickBot="1">
      <c r="A46" s="295"/>
      <c r="B46" s="217"/>
      <c r="C46" s="147" t="s">
        <v>32</v>
      </c>
      <c r="D46" s="219"/>
      <c r="E46" s="147" t="s">
        <v>85</v>
      </c>
      <c r="F46" s="333"/>
      <c r="G46" s="320"/>
      <c r="H46" s="297"/>
      <c r="I46" s="300"/>
      <c r="J46" s="301"/>
      <c r="K46" s="303"/>
      <c r="L46" s="305"/>
      <c r="M46" s="305"/>
      <c r="N46" s="307"/>
      <c r="O46" s="328"/>
      <c r="P46" s="318"/>
      <c r="Q46" s="305"/>
      <c r="R46" s="307"/>
      <c r="S46" s="375"/>
      <c r="T46" s="365"/>
      <c r="U46" s="3"/>
      <c r="V46" s="22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</row>
    <row r="47" spans="1:41">
      <c r="A47" s="294" t="str">
        <f>A89</f>
        <v>P1-3 Stormwater Ponds</v>
      </c>
      <c r="B47" s="216"/>
      <c r="C47" s="146" t="s">
        <v>25</v>
      </c>
      <c r="D47" s="218"/>
      <c r="E47" s="146" t="s">
        <v>13</v>
      </c>
      <c r="F47" s="332"/>
      <c r="G47" s="319">
        <f>'Site Data'!$E$16/12*$B$17*F47*0.5</f>
        <v>0</v>
      </c>
      <c r="H47" s="296">
        <f>1.7/12*('Site Data'!$H$31*B47+'Site Data'!$H$32*B48+'Site Data'!$H$33*SUM(D47:D48))</f>
        <v>0</v>
      </c>
      <c r="I47" s="331" t="s">
        <v>130</v>
      </c>
      <c r="J47" s="299"/>
      <c r="K47" s="302">
        <v>0.1</v>
      </c>
      <c r="L47" s="304">
        <f>AI67</f>
        <v>0</v>
      </c>
      <c r="M47" s="304">
        <f>H47+L47</f>
        <v>0</v>
      </c>
      <c r="N47" s="306" t="s">
        <v>11</v>
      </c>
      <c r="O47" s="327"/>
      <c r="P47" s="317">
        <f t="shared" ref="P47" si="12">IF(O47*K47&lt;=M47,O47*K47,M47)</f>
        <v>0</v>
      </c>
      <c r="Q47" s="304">
        <f>M47-P47</f>
        <v>0</v>
      </c>
      <c r="R47" s="306">
        <f>IF(O47&lt;=0,0,MIN(O47,H47+L47)-P47)</f>
        <v>0</v>
      </c>
      <c r="S47" s="370"/>
      <c r="T47" s="364" t="str">
        <f>IF('Site Data'!$E$14="Yes",IF(F47&gt;0,IF(P47+IF(R47="N/A",0,R47)+IF(S47&lt;&gt;0,VLOOKUP(S47,$A$77:$B$97,2,FALSE),0)&gt;=G47,"Yes","No"),"N/A"),"N/A")</f>
        <v>N/A</v>
      </c>
      <c r="U47" s="3"/>
      <c r="V47" s="174"/>
      <c r="W47" s="197">
        <f t="shared" ref="W47:AO47" si="13">IF($S47=W$22,$Q47,0)</f>
        <v>0</v>
      </c>
      <c r="X47" s="197">
        <f t="shared" si="13"/>
        <v>0</v>
      </c>
      <c r="Y47" s="197">
        <f t="shared" si="13"/>
        <v>0</v>
      </c>
      <c r="Z47" s="197">
        <f t="shared" si="13"/>
        <v>0</v>
      </c>
      <c r="AA47" s="197">
        <f t="shared" si="13"/>
        <v>0</v>
      </c>
      <c r="AB47" s="197">
        <f t="shared" si="13"/>
        <v>0</v>
      </c>
      <c r="AC47" s="197">
        <f t="shared" si="13"/>
        <v>0</v>
      </c>
      <c r="AD47" s="197">
        <f t="shared" si="13"/>
        <v>0</v>
      </c>
      <c r="AE47" s="197">
        <f t="shared" si="13"/>
        <v>0</v>
      </c>
      <c r="AF47" s="197">
        <f t="shared" si="13"/>
        <v>0</v>
      </c>
      <c r="AG47" s="197">
        <f t="shared" si="13"/>
        <v>0</v>
      </c>
      <c r="AH47" s="197">
        <f t="shared" si="13"/>
        <v>0</v>
      </c>
      <c r="AI47" s="197">
        <f t="shared" si="13"/>
        <v>0</v>
      </c>
      <c r="AJ47" s="197">
        <f t="shared" si="13"/>
        <v>0</v>
      </c>
      <c r="AK47" s="197">
        <f t="shared" si="13"/>
        <v>0</v>
      </c>
      <c r="AL47" s="197">
        <f t="shared" si="13"/>
        <v>0</v>
      </c>
      <c r="AM47" s="197">
        <f t="shared" si="13"/>
        <v>0</v>
      </c>
      <c r="AN47" s="197">
        <f t="shared" si="13"/>
        <v>0</v>
      </c>
      <c r="AO47" s="197">
        <f t="shared" si="13"/>
        <v>0</v>
      </c>
    </row>
    <row r="48" spans="1:41" ht="13.5" thickBot="1">
      <c r="A48" s="295"/>
      <c r="B48" s="217"/>
      <c r="C48" s="147" t="s">
        <v>32</v>
      </c>
      <c r="D48" s="219"/>
      <c r="E48" s="147" t="s">
        <v>85</v>
      </c>
      <c r="F48" s="333"/>
      <c r="G48" s="320"/>
      <c r="H48" s="297"/>
      <c r="I48" s="300"/>
      <c r="J48" s="301"/>
      <c r="K48" s="303"/>
      <c r="L48" s="305"/>
      <c r="M48" s="305"/>
      <c r="N48" s="307"/>
      <c r="O48" s="328"/>
      <c r="P48" s="318"/>
      <c r="Q48" s="305"/>
      <c r="R48" s="307"/>
      <c r="S48" s="375"/>
      <c r="T48" s="365"/>
      <c r="U48" s="3"/>
      <c r="V48" s="22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</row>
    <row r="49" spans="1:42">
      <c r="A49" s="294" t="str">
        <f>A90</f>
        <v>W1-2 Wetlands</v>
      </c>
      <c r="B49" s="216"/>
      <c r="C49" s="146" t="s">
        <v>25</v>
      </c>
      <c r="D49" s="218"/>
      <c r="E49" s="146" t="s">
        <v>13</v>
      </c>
      <c r="F49" s="332"/>
      <c r="G49" s="319">
        <f>'Site Data'!$E$16/12*$B$17*F49*0.5</f>
        <v>0</v>
      </c>
      <c r="H49" s="296">
        <f>1.7/12*('Site Data'!$H$31*B49+'Site Data'!$H$32*B50+'Site Data'!$H$33*SUM(D49:D50))</f>
        <v>0</v>
      </c>
      <c r="I49" s="331" t="s">
        <v>182</v>
      </c>
      <c r="J49" s="299"/>
      <c r="K49" s="302">
        <v>0.1</v>
      </c>
      <c r="L49" s="304">
        <f>AJ67</f>
        <v>0</v>
      </c>
      <c r="M49" s="304">
        <f>H49+L49</f>
        <v>0</v>
      </c>
      <c r="N49" s="306" t="s">
        <v>11</v>
      </c>
      <c r="O49" s="327"/>
      <c r="P49" s="317">
        <f t="shared" ref="P49" si="14">IF(O49*K49&lt;=M49,O49*K49,M49)</f>
        <v>0</v>
      </c>
      <c r="Q49" s="304">
        <f>M49-P49</f>
        <v>0</v>
      </c>
      <c r="R49" s="306">
        <f>IF(O49&lt;=0,0,MIN(O49,H49+L49)-P49)</f>
        <v>0</v>
      </c>
      <c r="S49" s="370"/>
      <c r="T49" s="364" t="str">
        <f>IF('Site Data'!$E$14="Yes",IF(F49&gt;0,IF(P49+IF(R49="N/A",0,R49)+IF(S49&lt;&gt;0,VLOOKUP(S49,$A$77:$B$97,2,FALSE),0)&gt;=G49,"Yes","No"),"N/A"),"N/A")</f>
        <v>N/A</v>
      </c>
      <c r="U49" s="3"/>
      <c r="V49" s="174"/>
      <c r="W49" s="197">
        <f t="shared" ref="W49:AO49" si="15">IF($S49=W$22,$Q49,0)</f>
        <v>0</v>
      </c>
      <c r="X49" s="197">
        <f t="shared" si="15"/>
        <v>0</v>
      </c>
      <c r="Y49" s="197">
        <f t="shared" si="15"/>
        <v>0</v>
      </c>
      <c r="Z49" s="197">
        <f t="shared" si="15"/>
        <v>0</v>
      </c>
      <c r="AA49" s="197">
        <f t="shared" si="15"/>
        <v>0</v>
      </c>
      <c r="AB49" s="197">
        <f t="shared" si="15"/>
        <v>0</v>
      </c>
      <c r="AC49" s="197">
        <f t="shared" si="15"/>
        <v>0</v>
      </c>
      <c r="AD49" s="197">
        <f t="shared" si="15"/>
        <v>0</v>
      </c>
      <c r="AE49" s="197">
        <f t="shared" si="15"/>
        <v>0</v>
      </c>
      <c r="AF49" s="197">
        <f t="shared" si="15"/>
        <v>0</v>
      </c>
      <c r="AG49" s="197">
        <f t="shared" si="15"/>
        <v>0</v>
      </c>
      <c r="AH49" s="197">
        <f t="shared" si="15"/>
        <v>0</v>
      </c>
      <c r="AI49" s="197">
        <f t="shared" si="15"/>
        <v>0</v>
      </c>
      <c r="AJ49" s="197">
        <f t="shared" si="15"/>
        <v>0</v>
      </c>
      <c r="AK49" s="197">
        <f t="shared" si="15"/>
        <v>0</v>
      </c>
      <c r="AL49" s="197">
        <f t="shared" si="15"/>
        <v>0</v>
      </c>
      <c r="AM49" s="197">
        <f t="shared" si="15"/>
        <v>0</v>
      </c>
      <c r="AN49" s="197">
        <f t="shared" si="15"/>
        <v>0</v>
      </c>
      <c r="AO49" s="197">
        <f t="shared" si="15"/>
        <v>0</v>
      </c>
    </row>
    <row r="50" spans="1:42" ht="13.5" thickBot="1">
      <c r="A50" s="295"/>
      <c r="B50" s="217"/>
      <c r="C50" s="147" t="s">
        <v>32</v>
      </c>
      <c r="D50" s="219"/>
      <c r="E50" s="147" t="s">
        <v>85</v>
      </c>
      <c r="F50" s="333"/>
      <c r="G50" s="320"/>
      <c r="H50" s="297"/>
      <c r="I50" s="300"/>
      <c r="J50" s="301"/>
      <c r="K50" s="303"/>
      <c r="L50" s="305"/>
      <c r="M50" s="305"/>
      <c r="N50" s="307"/>
      <c r="O50" s="328"/>
      <c r="P50" s="318"/>
      <c r="Q50" s="305"/>
      <c r="R50" s="307"/>
      <c r="S50" s="375"/>
      <c r="T50" s="365"/>
      <c r="U50" s="3"/>
      <c r="V50" s="22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</row>
    <row r="51" spans="1:42">
      <c r="A51" s="294" t="str">
        <f>A91</f>
        <v>O1 Grass Channel</v>
      </c>
      <c r="B51" s="216"/>
      <c r="C51" s="146" t="s">
        <v>25</v>
      </c>
      <c r="D51" s="218"/>
      <c r="E51" s="146" t="s">
        <v>13</v>
      </c>
      <c r="F51" s="332"/>
      <c r="G51" s="319">
        <f>'Site Data'!$E$16/12*$B$17*F51*0.5</f>
        <v>0</v>
      </c>
      <c r="H51" s="296">
        <f>1.7/12*('Site Data'!$H$31*B51+'Site Data'!$H$32*B52+'Site Data'!$H$33*SUM(D51:D52))</f>
        <v>0</v>
      </c>
      <c r="I51" s="298" t="s">
        <v>45</v>
      </c>
      <c r="J51" s="299"/>
      <c r="K51" s="302">
        <v>0.1</v>
      </c>
      <c r="L51" s="304">
        <f>AK67</f>
        <v>0</v>
      </c>
      <c r="M51" s="304">
        <f>H51+L51</f>
        <v>0</v>
      </c>
      <c r="N51" s="306" t="s">
        <v>11</v>
      </c>
      <c r="O51" s="327"/>
      <c r="P51" s="317">
        <f>IF(O51*K51&lt;=M51,O51*K51,M51)</f>
        <v>0</v>
      </c>
      <c r="Q51" s="304">
        <f>M51-P51</f>
        <v>0</v>
      </c>
      <c r="R51" s="306" t="s">
        <v>11</v>
      </c>
      <c r="S51" s="370"/>
      <c r="T51" s="364" t="str">
        <f>IF('Site Data'!$E$14="Yes",IF(F51&gt;0,IF(P51+IF(R51="N/A",0,R51)+IF(S51&lt;&gt;0,VLOOKUP(S51,$A$77:$B$97,2,FALSE),0)&gt;=G51,"Yes","No"),"N/A"),"N/A")</f>
        <v>N/A</v>
      </c>
      <c r="U51" s="3"/>
      <c r="V51" s="174"/>
      <c r="W51" s="197">
        <f t="shared" ref="W51:AO51" si="16">IF($S51=W$22,$Q51,0)</f>
        <v>0</v>
      </c>
      <c r="X51" s="197">
        <f t="shared" si="16"/>
        <v>0</v>
      </c>
      <c r="Y51" s="197">
        <f t="shared" si="16"/>
        <v>0</v>
      </c>
      <c r="Z51" s="197">
        <f t="shared" si="16"/>
        <v>0</v>
      </c>
      <c r="AA51" s="197">
        <f t="shared" si="16"/>
        <v>0</v>
      </c>
      <c r="AB51" s="197">
        <f t="shared" si="16"/>
        <v>0</v>
      </c>
      <c r="AC51" s="197">
        <f t="shared" si="16"/>
        <v>0</v>
      </c>
      <c r="AD51" s="197">
        <f t="shared" si="16"/>
        <v>0</v>
      </c>
      <c r="AE51" s="197">
        <f t="shared" si="16"/>
        <v>0</v>
      </c>
      <c r="AF51" s="197">
        <f t="shared" si="16"/>
        <v>0</v>
      </c>
      <c r="AG51" s="197">
        <f t="shared" si="16"/>
        <v>0</v>
      </c>
      <c r="AH51" s="197">
        <f t="shared" si="16"/>
        <v>0</v>
      </c>
      <c r="AI51" s="197">
        <f t="shared" si="16"/>
        <v>0</v>
      </c>
      <c r="AJ51" s="197">
        <f t="shared" si="16"/>
        <v>0</v>
      </c>
      <c r="AK51" s="197">
        <f t="shared" si="16"/>
        <v>0</v>
      </c>
      <c r="AL51" s="197">
        <f t="shared" si="16"/>
        <v>0</v>
      </c>
      <c r="AM51" s="197">
        <f t="shared" si="16"/>
        <v>0</v>
      </c>
      <c r="AN51" s="197">
        <f t="shared" si="16"/>
        <v>0</v>
      </c>
      <c r="AO51" s="197">
        <f t="shared" si="16"/>
        <v>0</v>
      </c>
    </row>
    <row r="52" spans="1:42" ht="13.5" thickBot="1">
      <c r="A52" s="295"/>
      <c r="B52" s="217"/>
      <c r="C52" s="147" t="s">
        <v>32</v>
      </c>
      <c r="D52" s="219"/>
      <c r="E52" s="147" t="s">
        <v>85</v>
      </c>
      <c r="F52" s="333"/>
      <c r="G52" s="320"/>
      <c r="H52" s="297"/>
      <c r="I52" s="300"/>
      <c r="J52" s="301"/>
      <c r="K52" s="303"/>
      <c r="L52" s="305"/>
      <c r="M52" s="305"/>
      <c r="N52" s="307"/>
      <c r="O52" s="328"/>
      <c r="P52" s="318"/>
      <c r="Q52" s="305"/>
      <c r="R52" s="307"/>
      <c r="S52" s="375"/>
      <c r="T52" s="365"/>
      <c r="U52" s="3"/>
      <c r="V52" s="22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</row>
    <row r="53" spans="1:42">
      <c r="A53" s="294" t="str">
        <f>A92</f>
        <v>O1 Grass Channel with Amended Soils</v>
      </c>
      <c r="B53" s="216"/>
      <c r="C53" s="146" t="s">
        <v>25</v>
      </c>
      <c r="D53" s="218"/>
      <c r="E53" s="146" t="s">
        <v>13</v>
      </c>
      <c r="F53" s="332"/>
      <c r="G53" s="319">
        <f>'Site Data'!$E$16/12*$B$17*F53*0.5</f>
        <v>0</v>
      </c>
      <c r="H53" s="296">
        <f>1.7/12*('Site Data'!$H$31*B53+'Site Data'!$H$32*B54+'Site Data'!$H$33*SUM(D53:D54))</f>
        <v>0</v>
      </c>
      <c r="I53" s="298" t="s">
        <v>46</v>
      </c>
      <c r="J53" s="299"/>
      <c r="K53" s="302">
        <v>0.3</v>
      </c>
      <c r="L53" s="304">
        <f>AL67</f>
        <v>0</v>
      </c>
      <c r="M53" s="304">
        <f>H53+L53</f>
        <v>0</v>
      </c>
      <c r="N53" s="306" t="s">
        <v>11</v>
      </c>
      <c r="O53" s="327"/>
      <c r="P53" s="317">
        <f>IF(O53*K53&lt;=M53,O53*K53,M53)</f>
        <v>0</v>
      </c>
      <c r="Q53" s="304">
        <f>M53-P53</f>
        <v>0</v>
      </c>
      <c r="R53" s="306" t="s">
        <v>11</v>
      </c>
      <c r="S53" s="370"/>
      <c r="T53" s="364" t="str">
        <f>IF('Site Data'!$E$14="Yes",IF(F53&gt;0,IF(P53+IF(R53="N/A",0,R53)+IF(S53&lt;&gt;0,VLOOKUP(S53,$A$77:$B$97,2,FALSE),0)&gt;=G53,"Yes","No"),"N/A"),"N/A")</f>
        <v>N/A</v>
      </c>
      <c r="U53" s="3"/>
      <c r="V53" s="174"/>
      <c r="W53" s="197">
        <f t="shared" ref="W53:AO53" si="17">IF($S53=W$22,$Q53,0)</f>
        <v>0</v>
      </c>
      <c r="X53" s="197">
        <f t="shared" si="17"/>
        <v>0</v>
      </c>
      <c r="Y53" s="197">
        <f t="shared" si="17"/>
        <v>0</v>
      </c>
      <c r="Z53" s="197">
        <f t="shared" si="17"/>
        <v>0</v>
      </c>
      <c r="AA53" s="197">
        <f t="shared" si="17"/>
        <v>0</v>
      </c>
      <c r="AB53" s="197">
        <f t="shared" si="17"/>
        <v>0</v>
      </c>
      <c r="AC53" s="197">
        <f t="shared" si="17"/>
        <v>0</v>
      </c>
      <c r="AD53" s="197">
        <f t="shared" si="17"/>
        <v>0</v>
      </c>
      <c r="AE53" s="197">
        <f t="shared" si="17"/>
        <v>0</v>
      </c>
      <c r="AF53" s="197">
        <f t="shared" si="17"/>
        <v>0</v>
      </c>
      <c r="AG53" s="197">
        <f t="shared" si="17"/>
        <v>0</v>
      </c>
      <c r="AH53" s="197">
        <f t="shared" si="17"/>
        <v>0</v>
      </c>
      <c r="AI53" s="197">
        <f t="shared" si="17"/>
        <v>0</v>
      </c>
      <c r="AJ53" s="197">
        <f t="shared" si="17"/>
        <v>0</v>
      </c>
      <c r="AK53" s="197">
        <f t="shared" si="17"/>
        <v>0</v>
      </c>
      <c r="AL53" s="197">
        <f t="shared" si="17"/>
        <v>0</v>
      </c>
      <c r="AM53" s="197">
        <f t="shared" si="17"/>
        <v>0</v>
      </c>
      <c r="AN53" s="197">
        <f t="shared" si="17"/>
        <v>0</v>
      </c>
      <c r="AO53" s="197">
        <f t="shared" si="17"/>
        <v>0</v>
      </c>
    </row>
    <row r="54" spans="1:42" ht="13.5" thickBot="1">
      <c r="A54" s="295"/>
      <c r="B54" s="217"/>
      <c r="C54" s="147" t="s">
        <v>32</v>
      </c>
      <c r="D54" s="219"/>
      <c r="E54" s="147" t="s">
        <v>85</v>
      </c>
      <c r="F54" s="333"/>
      <c r="G54" s="320"/>
      <c r="H54" s="297"/>
      <c r="I54" s="300"/>
      <c r="J54" s="301"/>
      <c r="K54" s="303"/>
      <c r="L54" s="305"/>
      <c r="M54" s="305"/>
      <c r="N54" s="307"/>
      <c r="O54" s="328"/>
      <c r="P54" s="318"/>
      <c r="Q54" s="305"/>
      <c r="R54" s="307"/>
      <c r="S54" s="375"/>
      <c r="T54" s="365"/>
      <c r="U54" s="3"/>
      <c r="V54" s="22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</row>
    <row r="55" spans="1:42">
      <c r="A55" s="294" t="str">
        <f>A93</f>
        <v>O2 Dry Swale</v>
      </c>
      <c r="B55" s="216"/>
      <c r="C55" s="146" t="s">
        <v>25</v>
      </c>
      <c r="D55" s="218"/>
      <c r="E55" s="146" t="s">
        <v>13</v>
      </c>
      <c r="F55" s="332"/>
      <c r="G55" s="319">
        <f>'Site Data'!$E$16/12*$B$17*F55*0.5</f>
        <v>0</v>
      </c>
      <c r="H55" s="296">
        <f>1.7/12*('Site Data'!$H$31*B55+'Site Data'!$H$32*B56+'Site Data'!$H$33*SUM(D55:D56))</f>
        <v>0</v>
      </c>
      <c r="I55" s="298" t="s">
        <v>181</v>
      </c>
      <c r="J55" s="299"/>
      <c r="K55" s="302">
        <v>0.6</v>
      </c>
      <c r="L55" s="304">
        <f>AM67</f>
        <v>0</v>
      </c>
      <c r="M55" s="304">
        <f>H55+L55</f>
        <v>0</v>
      </c>
      <c r="N55" s="306" t="s">
        <v>11</v>
      </c>
      <c r="O55" s="327"/>
      <c r="P55" s="317">
        <f>IF(O55*K55&lt;=M55,O55*K55,M55)</f>
        <v>0</v>
      </c>
      <c r="Q55" s="304">
        <f>M55-P55</f>
        <v>0</v>
      </c>
      <c r="R55" s="306">
        <f>IF(O55&lt;=0,0,MIN(O55,H55+L55)-P55)</f>
        <v>0</v>
      </c>
      <c r="S55" s="370"/>
      <c r="T55" s="364" t="str">
        <f>IF('Site Data'!$E$14="Yes",IF(F55&gt;0,IF(P55+IF(R55="N/A",0,R55)+IF(S55&lt;&gt;0,VLOOKUP(S55,$A$77:$B$97,2,FALSE),0)&gt;=G55,"Yes","No"),"N/A"),"N/A")</f>
        <v>N/A</v>
      </c>
      <c r="U55" s="3"/>
      <c r="V55" s="174"/>
      <c r="W55" s="197">
        <f t="shared" ref="W55:AO55" si="18">IF($S55=W$22,$Q55,0)</f>
        <v>0</v>
      </c>
      <c r="X55" s="197">
        <f t="shared" si="18"/>
        <v>0</v>
      </c>
      <c r="Y55" s="197">
        <f t="shared" si="18"/>
        <v>0</v>
      </c>
      <c r="Z55" s="197">
        <f t="shared" si="18"/>
        <v>0</v>
      </c>
      <c r="AA55" s="197">
        <f t="shared" si="18"/>
        <v>0</v>
      </c>
      <c r="AB55" s="197">
        <f t="shared" si="18"/>
        <v>0</v>
      </c>
      <c r="AC55" s="197">
        <f t="shared" si="18"/>
        <v>0</v>
      </c>
      <c r="AD55" s="197">
        <f t="shared" si="18"/>
        <v>0</v>
      </c>
      <c r="AE55" s="197">
        <f t="shared" si="18"/>
        <v>0</v>
      </c>
      <c r="AF55" s="197">
        <f t="shared" si="18"/>
        <v>0</v>
      </c>
      <c r="AG55" s="197">
        <f t="shared" si="18"/>
        <v>0</v>
      </c>
      <c r="AH55" s="197">
        <f t="shared" si="18"/>
        <v>0</v>
      </c>
      <c r="AI55" s="197">
        <f t="shared" si="18"/>
        <v>0</v>
      </c>
      <c r="AJ55" s="197">
        <f t="shared" si="18"/>
        <v>0</v>
      </c>
      <c r="AK55" s="197">
        <f t="shared" si="18"/>
        <v>0</v>
      </c>
      <c r="AL55" s="197">
        <f t="shared" si="18"/>
        <v>0</v>
      </c>
      <c r="AM55" s="197">
        <f t="shared" si="18"/>
        <v>0</v>
      </c>
      <c r="AN55" s="197">
        <f t="shared" si="18"/>
        <v>0</v>
      </c>
      <c r="AO55" s="197">
        <f t="shared" si="18"/>
        <v>0</v>
      </c>
    </row>
    <row r="56" spans="1:42" ht="13.5" thickBot="1">
      <c r="A56" s="295"/>
      <c r="B56" s="217"/>
      <c r="C56" s="147" t="s">
        <v>32</v>
      </c>
      <c r="D56" s="219"/>
      <c r="E56" s="147" t="s">
        <v>85</v>
      </c>
      <c r="F56" s="333"/>
      <c r="G56" s="320"/>
      <c r="H56" s="297"/>
      <c r="I56" s="300"/>
      <c r="J56" s="301"/>
      <c r="K56" s="303"/>
      <c r="L56" s="305"/>
      <c r="M56" s="305"/>
      <c r="N56" s="307"/>
      <c r="O56" s="328"/>
      <c r="P56" s="318"/>
      <c r="Q56" s="305"/>
      <c r="R56" s="307"/>
      <c r="S56" s="375"/>
      <c r="T56" s="365"/>
      <c r="U56" s="3"/>
      <c r="V56" s="22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</row>
    <row r="57" spans="1:42">
      <c r="A57" s="294" t="str">
        <f>A94</f>
        <v>O3 Wet Swale</v>
      </c>
      <c r="B57" s="216"/>
      <c r="C57" s="146" t="s">
        <v>25</v>
      </c>
      <c r="D57" s="218"/>
      <c r="E57" s="146" t="s">
        <v>13</v>
      </c>
      <c r="F57" s="332"/>
      <c r="G57" s="319">
        <f>'Site Data'!$E$16/12*$B$17*F57*0.5</f>
        <v>0</v>
      </c>
      <c r="H57" s="296">
        <f>1.7/12*('Site Data'!$H$31*B57+'Site Data'!$H$32*B58+'Site Data'!$H$33*SUM(D57:D58))</f>
        <v>0</v>
      </c>
      <c r="I57" s="331" t="s">
        <v>182</v>
      </c>
      <c r="J57" s="299"/>
      <c r="K57" s="302">
        <v>0.1</v>
      </c>
      <c r="L57" s="304">
        <f>AN67</f>
        <v>0</v>
      </c>
      <c r="M57" s="304">
        <f>H57+L57</f>
        <v>0</v>
      </c>
      <c r="N57" s="306" t="s">
        <v>11</v>
      </c>
      <c r="O57" s="327"/>
      <c r="P57" s="317">
        <f>IF(O57*K57&lt;=M57,O57*K57,M57)</f>
        <v>0</v>
      </c>
      <c r="Q57" s="304">
        <f>M57-P57</f>
        <v>0</v>
      </c>
      <c r="R57" s="306">
        <f>IF(O57&lt;=0,0,MIN(O57,H57+L57)-P57)</f>
        <v>0</v>
      </c>
      <c r="S57" s="370"/>
      <c r="T57" s="364" t="str">
        <f>IF('Site Data'!$E$14="Yes",IF(F57&gt;0,IF(P57+IF(R57="N/A",0,R57)+IF(S57&lt;&gt;0,VLOOKUP(S57,$A$77:$B$97,2,FALSE),0)&gt;=G57,"Yes","No"),"N/A"),"N/A")</f>
        <v>N/A</v>
      </c>
      <c r="U57" s="3"/>
      <c r="V57" s="174"/>
      <c r="W57" s="197">
        <f t="shared" ref="W57:AO57" si="19">IF($S57=W$22,$Q57,0)</f>
        <v>0</v>
      </c>
      <c r="X57" s="197">
        <f t="shared" si="19"/>
        <v>0</v>
      </c>
      <c r="Y57" s="197">
        <f t="shared" si="19"/>
        <v>0</v>
      </c>
      <c r="Z57" s="197">
        <f t="shared" si="19"/>
        <v>0</v>
      </c>
      <c r="AA57" s="197">
        <f t="shared" si="19"/>
        <v>0</v>
      </c>
      <c r="AB57" s="197">
        <f t="shared" si="19"/>
        <v>0</v>
      </c>
      <c r="AC57" s="197">
        <f t="shared" si="19"/>
        <v>0</v>
      </c>
      <c r="AD57" s="197">
        <f t="shared" si="19"/>
        <v>0</v>
      </c>
      <c r="AE57" s="197">
        <f t="shared" si="19"/>
        <v>0</v>
      </c>
      <c r="AF57" s="197">
        <f t="shared" si="19"/>
        <v>0</v>
      </c>
      <c r="AG57" s="197">
        <f t="shared" si="19"/>
        <v>0</v>
      </c>
      <c r="AH57" s="197">
        <f t="shared" si="19"/>
        <v>0</v>
      </c>
      <c r="AI57" s="197">
        <f t="shared" si="19"/>
        <v>0</v>
      </c>
      <c r="AJ57" s="197">
        <f t="shared" si="19"/>
        <v>0</v>
      </c>
      <c r="AK57" s="197">
        <f t="shared" si="19"/>
        <v>0</v>
      </c>
      <c r="AL57" s="197">
        <f t="shared" si="19"/>
        <v>0</v>
      </c>
      <c r="AM57" s="197">
        <f t="shared" si="19"/>
        <v>0</v>
      </c>
      <c r="AN57" s="197">
        <f t="shared" si="19"/>
        <v>0</v>
      </c>
      <c r="AO57" s="197">
        <f t="shared" si="19"/>
        <v>0</v>
      </c>
    </row>
    <row r="58" spans="1:42" ht="13.5" thickBot="1">
      <c r="A58" s="295"/>
      <c r="B58" s="217"/>
      <c r="C58" s="147" t="s">
        <v>32</v>
      </c>
      <c r="D58" s="219"/>
      <c r="E58" s="147" t="s">
        <v>85</v>
      </c>
      <c r="F58" s="333"/>
      <c r="G58" s="320"/>
      <c r="H58" s="297"/>
      <c r="I58" s="300"/>
      <c r="J58" s="301"/>
      <c r="K58" s="303"/>
      <c r="L58" s="305"/>
      <c r="M58" s="305"/>
      <c r="N58" s="307"/>
      <c r="O58" s="328"/>
      <c r="P58" s="318"/>
      <c r="Q58" s="305"/>
      <c r="R58" s="307"/>
      <c r="S58" s="375"/>
      <c r="T58" s="365"/>
      <c r="U58" s="3"/>
      <c r="V58" s="22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</row>
    <row r="59" spans="1:42">
      <c r="A59" s="294" t="str">
        <f>A95</f>
        <v>PP1 Proprietary Practice</v>
      </c>
      <c r="B59" s="216"/>
      <c r="C59" s="146" t="s">
        <v>25</v>
      </c>
      <c r="D59" s="218"/>
      <c r="E59" s="146" t="s">
        <v>13</v>
      </c>
      <c r="F59" s="332"/>
      <c r="G59" s="319">
        <f>'Site Data'!$E$16/12*$B$17*F59*0.5</f>
        <v>0</v>
      </c>
      <c r="H59" s="296">
        <f>1.7/12*('Site Data'!$H$31*B59+'Site Data'!$H$32*B60+'Site Data'!$H$33*SUM(D59:D60))</f>
        <v>0</v>
      </c>
      <c r="I59" s="298" t="s">
        <v>183</v>
      </c>
      <c r="J59" s="299"/>
      <c r="K59" s="329">
        <v>0</v>
      </c>
      <c r="L59" s="304">
        <f>AO67</f>
        <v>0</v>
      </c>
      <c r="M59" s="304">
        <f>H59+L59</f>
        <v>0</v>
      </c>
      <c r="N59" s="306" t="s">
        <v>11</v>
      </c>
      <c r="O59" s="327"/>
      <c r="P59" s="317">
        <f>IF(O59*K59&lt;=M59,O59*K59,M59)</f>
        <v>0</v>
      </c>
      <c r="Q59" s="304">
        <f>M59-P59</f>
        <v>0</v>
      </c>
      <c r="R59" s="306">
        <f>H59+L59</f>
        <v>0</v>
      </c>
      <c r="S59" s="370"/>
      <c r="T59" s="364" t="str">
        <f>IF('Site Data'!$E$14="Yes",IF(F59&gt;0,IF(P59+IF(R59="N/A",0,R59)+IF(S59&lt;&gt;0,VLOOKUP(S59,$A$77:$B$97,2,FALSE),0)&gt;=G59,"Yes","No"),"N/A"),"N/A")</f>
        <v>N/A</v>
      </c>
      <c r="U59" s="3"/>
      <c r="V59" s="174"/>
      <c r="W59" s="197">
        <f t="shared" ref="W59:AO59" si="20">IF($S59=W$22,$Q59,0)</f>
        <v>0</v>
      </c>
      <c r="X59" s="197">
        <f t="shared" si="20"/>
        <v>0</v>
      </c>
      <c r="Y59" s="197">
        <f t="shared" si="20"/>
        <v>0</v>
      </c>
      <c r="Z59" s="197">
        <f t="shared" si="20"/>
        <v>0</v>
      </c>
      <c r="AA59" s="197">
        <f t="shared" si="20"/>
        <v>0</v>
      </c>
      <c r="AB59" s="197">
        <f t="shared" si="20"/>
        <v>0</v>
      </c>
      <c r="AC59" s="197">
        <f t="shared" si="20"/>
        <v>0</v>
      </c>
      <c r="AD59" s="197">
        <f t="shared" si="20"/>
        <v>0</v>
      </c>
      <c r="AE59" s="197">
        <f t="shared" si="20"/>
        <v>0</v>
      </c>
      <c r="AF59" s="197">
        <f t="shared" si="20"/>
        <v>0</v>
      </c>
      <c r="AG59" s="197">
        <f t="shared" si="20"/>
        <v>0</v>
      </c>
      <c r="AH59" s="197">
        <f t="shared" si="20"/>
        <v>0</v>
      </c>
      <c r="AI59" s="197">
        <f t="shared" si="20"/>
        <v>0</v>
      </c>
      <c r="AJ59" s="197">
        <f t="shared" si="20"/>
        <v>0</v>
      </c>
      <c r="AK59" s="197">
        <f t="shared" si="20"/>
        <v>0</v>
      </c>
      <c r="AL59" s="197">
        <f t="shared" si="20"/>
        <v>0</v>
      </c>
      <c r="AM59" s="197">
        <f t="shared" si="20"/>
        <v>0</v>
      </c>
      <c r="AN59" s="197">
        <f t="shared" si="20"/>
        <v>0</v>
      </c>
      <c r="AO59" s="197">
        <f t="shared" si="20"/>
        <v>0</v>
      </c>
    </row>
    <row r="60" spans="1:42" ht="13.5" thickBot="1">
      <c r="A60" s="295"/>
      <c r="B60" s="217"/>
      <c r="C60" s="147" t="s">
        <v>32</v>
      </c>
      <c r="D60" s="219"/>
      <c r="E60" s="147" t="s">
        <v>85</v>
      </c>
      <c r="F60" s="333"/>
      <c r="G60" s="320"/>
      <c r="H60" s="297"/>
      <c r="I60" s="300"/>
      <c r="J60" s="301"/>
      <c r="K60" s="330"/>
      <c r="L60" s="305"/>
      <c r="M60" s="305"/>
      <c r="N60" s="307"/>
      <c r="O60" s="328"/>
      <c r="P60" s="318"/>
      <c r="Q60" s="305"/>
      <c r="R60" s="307"/>
      <c r="S60" s="371"/>
      <c r="T60" s="365"/>
      <c r="U60" s="3"/>
      <c r="V60" s="22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</row>
    <row r="61" spans="1:42" customFormat="1">
      <c r="A61" s="294" t="str">
        <f>A96</f>
        <v>TP1 Tree Preservation</v>
      </c>
      <c r="B61" s="372"/>
      <c r="C61" s="321" t="s">
        <v>164</v>
      </c>
      <c r="D61" s="322"/>
      <c r="E61" s="322"/>
      <c r="F61" s="322"/>
      <c r="G61" s="323"/>
      <c r="H61" s="296" t="s">
        <v>11</v>
      </c>
      <c r="I61" s="298" t="s">
        <v>95</v>
      </c>
      <c r="J61" s="299"/>
      <c r="K61" s="302" t="s">
        <v>11</v>
      </c>
      <c r="L61" s="304" t="s">
        <v>11</v>
      </c>
      <c r="M61" s="304" t="s">
        <v>11</v>
      </c>
      <c r="N61" s="306" t="s">
        <v>11</v>
      </c>
      <c r="O61" s="306" t="s">
        <v>11</v>
      </c>
      <c r="P61" s="317">
        <f>20*B61</f>
        <v>0</v>
      </c>
      <c r="Q61" s="304" t="s">
        <v>11</v>
      </c>
      <c r="R61" s="306" t="s">
        <v>11</v>
      </c>
      <c r="S61" s="374" t="s">
        <v>11</v>
      </c>
      <c r="T61" s="364" t="str">
        <f>IF('Site Data'!$E$14="Yes",IF(F61&gt;0,IF(P61+IF(R61="N/A",0,R61)+IF(S61&lt;&gt;0,VLOOKUP(S61,$A$77:$B$97,2,FALSE),0)&gt;=G61,"Yes","No"),"N/A"),"N/A")</f>
        <v>N/A</v>
      </c>
      <c r="U61" s="26"/>
      <c r="V61" s="27"/>
      <c r="W61" s="197">
        <f t="shared" ref="W61:AO61" si="21">IF($S61=W$22,$Q61,0)</f>
        <v>0</v>
      </c>
      <c r="X61" s="197">
        <f t="shared" si="21"/>
        <v>0</v>
      </c>
      <c r="Y61" s="197">
        <f t="shared" si="21"/>
        <v>0</v>
      </c>
      <c r="Z61" s="197">
        <f t="shared" si="21"/>
        <v>0</v>
      </c>
      <c r="AA61" s="197">
        <f t="shared" si="21"/>
        <v>0</v>
      </c>
      <c r="AB61" s="197">
        <f t="shared" si="21"/>
        <v>0</v>
      </c>
      <c r="AC61" s="197">
        <f t="shared" si="21"/>
        <v>0</v>
      </c>
      <c r="AD61" s="197">
        <f t="shared" si="21"/>
        <v>0</v>
      </c>
      <c r="AE61" s="197">
        <f t="shared" si="21"/>
        <v>0</v>
      </c>
      <c r="AF61" s="197">
        <f t="shared" si="21"/>
        <v>0</v>
      </c>
      <c r="AG61" s="197">
        <f t="shared" si="21"/>
        <v>0</v>
      </c>
      <c r="AH61" s="197">
        <f t="shared" si="21"/>
        <v>0</v>
      </c>
      <c r="AI61" s="197">
        <f t="shared" si="21"/>
        <v>0</v>
      </c>
      <c r="AJ61" s="197">
        <f t="shared" si="21"/>
        <v>0</v>
      </c>
      <c r="AK61" s="197">
        <f t="shared" si="21"/>
        <v>0</v>
      </c>
      <c r="AL61" s="197">
        <f t="shared" si="21"/>
        <v>0</v>
      </c>
      <c r="AM61" s="197">
        <f t="shared" si="21"/>
        <v>0</v>
      </c>
      <c r="AN61" s="197">
        <f t="shared" si="21"/>
        <v>0</v>
      </c>
      <c r="AO61" s="197">
        <f t="shared" si="21"/>
        <v>0</v>
      </c>
      <c r="AP61" s="28"/>
    </row>
    <row r="62" spans="1:42" customFormat="1" ht="13.5" thickBot="1">
      <c r="A62" s="295"/>
      <c r="B62" s="373"/>
      <c r="C62" s="324"/>
      <c r="D62" s="325"/>
      <c r="E62" s="325"/>
      <c r="F62" s="325"/>
      <c r="G62" s="326"/>
      <c r="H62" s="297"/>
      <c r="I62" s="300"/>
      <c r="J62" s="301"/>
      <c r="K62" s="303"/>
      <c r="L62" s="305"/>
      <c r="M62" s="305"/>
      <c r="N62" s="307"/>
      <c r="O62" s="307"/>
      <c r="P62" s="318"/>
      <c r="Q62" s="305"/>
      <c r="R62" s="307"/>
      <c r="S62" s="374"/>
      <c r="T62" s="365"/>
      <c r="U62" s="26"/>
      <c r="V62" s="27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28"/>
    </row>
    <row r="63" spans="1:42" customFormat="1">
      <c r="A63" s="294" t="str">
        <f>A97</f>
        <v>TP2 Tree Planting</v>
      </c>
      <c r="B63" s="372"/>
      <c r="C63" s="321" t="s">
        <v>165</v>
      </c>
      <c r="D63" s="322"/>
      <c r="E63" s="322"/>
      <c r="F63" s="322"/>
      <c r="G63" s="323"/>
      <c r="H63" s="296" t="s">
        <v>11</v>
      </c>
      <c r="I63" s="298" t="s">
        <v>96</v>
      </c>
      <c r="J63" s="299"/>
      <c r="K63" s="302" t="s">
        <v>11</v>
      </c>
      <c r="L63" s="304" t="s">
        <v>11</v>
      </c>
      <c r="M63" s="304" t="s">
        <v>11</v>
      </c>
      <c r="N63" s="306" t="s">
        <v>11</v>
      </c>
      <c r="O63" s="306" t="s">
        <v>11</v>
      </c>
      <c r="P63" s="317">
        <f>10*B63</f>
        <v>0</v>
      </c>
      <c r="Q63" s="304" t="s">
        <v>11</v>
      </c>
      <c r="R63" s="306" t="s">
        <v>11</v>
      </c>
      <c r="S63" s="374" t="s">
        <v>11</v>
      </c>
      <c r="T63" s="364" t="str">
        <f>IF('Site Data'!$E$14="Yes",IF(F63&gt;0,IF(P63+IF(R63="N/A",0,R63)+IF(S63&lt;&gt;0,VLOOKUP(S63,$A$77:$B$97,2,FALSE),0)&gt;=G63,"Yes","No"),"N/A"),"N/A")</f>
        <v>N/A</v>
      </c>
      <c r="U63" s="26"/>
      <c r="V63" s="27"/>
      <c r="W63" s="197">
        <f t="shared" ref="W63:AO63" si="22">IF($S63=W$22,$Q63,0)</f>
        <v>0</v>
      </c>
      <c r="X63" s="197">
        <f t="shared" si="22"/>
        <v>0</v>
      </c>
      <c r="Y63" s="197">
        <f t="shared" si="22"/>
        <v>0</v>
      </c>
      <c r="Z63" s="197">
        <f t="shared" si="22"/>
        <v>0</v>
      </c>
      <c r="AA63" s="197">
        <f t="shared" si="22"/>
        <v>0</v>
      </c>
      <c r="AB63" s="197">
        <f t="shared" si="22"/>
        <v>0</v>
      </c>
      <c r="AC63" s="197">
        <f t="shared" si="22"/>
        <v>0</v>
      </c>
      <c r="AD63" s="197">
        <f t="shared" si="22"/>
        <v>0</v>
      </c>
      <c r="AE63" s="197">
        <f t="shared" si="22"/>
        <v>0</v>
      </c>
      <c r="AF63" s="197">
        <f t="shared" si="22"/>
        <v>0</v>
      </c>
      <c r="AG63" s="197">
        <f t="shared" si="22"/>
        <v>0</v>
      </c>
      <c r="AH63" s="197">
        <f t="shared" si="22"/>
        <v>0</v>
      </c>
      <c r="AI63" s="197">
        <f t="shared" si="22"/>
        <v>0</v>
      </c>
      <c r="AJ63" s="197">
        <f t="shared" si="22"/>
        <v>0</v>
      </c>
      <c r="AK63" s="197">
        <f t="shared" si="22"/>
        <v>0</v>
      </c>
      <c r="AL63" s="197">
        <f t="shared" si="22"/>
        <v>0</v>
      </c>
      <c r="AM63" s="197">
        <f t="shared" si="22"/>
        <v>0</v>
      </c>
      <c r="AN63" s="197">
        <f t="shared" si="22"/>
        <v>0</v>
      </c>
      <c r="AO63" s="197">
        <f t="shared" si="22"/>
        <v>0</v>
      </c>
      <c r="AP63" s="28"/>
    </row>
    <row r="64" spans="1:42" customFormat="1" ht="13.5" thickBot="1">
      <c r="A64" s="295"/>
      <c r="B64" s="373"/>
      <c r="C64" s="324"/>
      <c r="D64" s="325"/>
      <c r="E64" s="325"/>
      <c r="F64" s="325"/>
      <c r="G64" s="326"/>
      <c r="H64" s="297"/>
      <c r="I64" s="300"/>
      <c r="J64" s="301"/>
      <c r="K64" s="303"/>
      <c r="L64" s="305"/>
      <c r="M64" s="305"/>
      <c r="N64" s="307"/>
      <c r="O64" s="307"/>
      <c r="P64" s="318"/>
      <c r="Q64" s="305"/>
      <c r="R64" s="307"/>
      <c r="S64" s="374"/>
      <c r="T64" s="365"/>
      <c r="U64" s="26"/>
      <c r="V64" s="27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28"/>
    </row>
    <row r="65" spans="1:42" customFormat="1">
      <c r="A65" s="104"/>
      <c r="B65" s="3"/>
      <c r="C65" s="89"/>
      <c r="D65" s="3"/>
      <c r="E65" s="89"/>
      <c r="F65" s="89"/>
      <c r="G65" s="89"/>
      <c r="H65" s="123"/>
      <c r="I65" s="45"/>
      <c r="J65" s="2"/>
      <c r="K65" s="2"/>
      <c r="L65" s="136"/>
      <c r="M65" s="89"/>
      <c r="N65" s="3"/>
      <c r="O65" s="89"/>
      <c r="P65" s="89"/>
      <c r="Q65" s="123"/>
      <c r="R65" s="123"/>
      <c r="S65" s="3"/>
      <c r="T65" s="3"/>
      <c r="U65" s="3"/>
      <c r="V65" s="2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7" customFormat="1">
      <c r="A66" s="272" t="s">
        <v>3</v>
      </c>
      <c r="B66" s="222">
        <f>SUM(B23:B64)</f>
        <v>0</v>
      </c>
      <c r="C66" s="168"/>
      <c r="D66" s="222">
        <f>SUM(D23:D60)</f>
        <v>0</v>
      </c>
      <c r="E66" s="168"/>
      <c r="F66" s="222">
        <f>SUM(F23:F60)</f>
        <v>0</v>
      </c>
      <c r="G66" s="168"/>
      <c r="H66" s="249">
        <f>SUM(H23:H60)</f>
        <v>0</v>
      </c>
      <c r="I66" s="45"/>
      <c r="J66" s="40"/>
      <c r="K66" s="114"/>
      <c r="M66" s="384" t="s">
        <v>135</v>
      </c>
      <c r="N66" s="384"/>
      <c r="O66" s="384"/>
      <c r="P66" s="249">
        <f>SUM(P23:P64)</f>
        <v>0</v>
      </c>
      <c r="Q66" s="125"/>
      <c r="R66" s="247"/>
      <c r="S66" s="178" t="s">
        <v>99</v>
      </c>
      <c r="T66" s="249">
        <f>SUM(R33:R60)</f>
        <v>0</v>
      </c>
      <c r="U66" s="26"/>
      <c r="V66" s="3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44"/>
      <c r="B67" s="158"/>
      <c r="C67" s="45"/>
      <c r="D67" s="158"/>
      <c r="E67" s="45"/>
      <c r="F67" s="45"/>
      <c r="G67" s="45"/>
      <c r="H67" s="107"/>
      <c r="I67" s="61"/>
      <c r="J67" s="3"/>
      <c r="K67" s="3"/>
      <c r="L67" s="89"/>
      <c r="N67" s="2"/>
      <c r="O67" s="89"/>
      <c r="P67" s="89"/>
      <c r="Q67" s="126"/>
      <c r="R67" s="126"/>
      <c r="T67" s="3"/>
      <c r="U67" s="3"/>
      <c r="V67" s="30" t="s">
        <v>3</v>
      </c>
      <c r="W67" s="30">
        <f t="shared" ref="W67:AM67" si="23">SUM(W22:W66)</f>
        <v>0</v>
      </c>
      <c r="X67" s="30">
        <f t="shared" si="23"/>
        <v>0</v>
      </c>
      <c r="Y67" s="30">
        <f t="shared" si="23"/>
        <v>0</v>
      </c>
      <c r="Z67" s="30">
        <f t="shared" si="23"/>
        <v>0</v>
      </c>
      <c r="AA67" s="30">
        <f t="shared" si="23"/>
        <v>0</v>
      </c>
      <c r="AB67" s="30">
        <f t="shared" si="23"/>
        <v>0</v>
      </c>
      <c r="AC67" s="30">
        <f t="shared" si="23"/>
        <v>0</v>
      </c>
      <c r="AD67" s="30">
        <f t="shared" si="23"/>
        <v>0</v>
      </c>
      <c r="AE67" s="30">
        <f t="shared" si="23"/>
        <v>0</v>
      </c>
      <c r="AF67" s="30">
        <f t="shared" si="23"/>
        <v>0</v>
      </c>
      <c r="AG67" s="30">
        <f t="shared" si="23"/>
        <v>0</v>
      </c>
      <c r="AH67" s="30">
        <f t="shared" si="23"/>
        <v>0</v>
      </c>
      <c r="AI67" s="30">
        <f t="shared" si="23"/>
        <v>0</v>
      </c>
      <c r="AJ67" s="30">
        <f t="shared" si="23"/>
        <v>0</v>
      </c>
      <c r="AK67" s="30">
        <f t="shared" si="23"/>
        <v>0</v>
      </c>
      <c r="AL67" s="30">
        <f t="shared" si="23"/>
        <v>0</v>
      </c>
      <c r="AM67" s="30">
        <f t="shared" si="23"/>
        <v>0</v>
      </c>
      <c r="AN67" s="30">
        <f>SUM(AN22:AN66)</f>
        <v>0</v>
      </c>
      <c r="AO67" s="30">
        <f>SUM(AO22:AO66)</f>
        <v>0</v>
      </c>
      <c r="AP67" s="28"/>
    </row>
    <row r="68" spans="1:42" ht="63.75">
      <c r="A68" s="44"/>
      <c r="B68" s="158"/>
      <c r="C68" s="45"/>
      <c r="D68" s="158"/>
      <c r="E68" s="45"/>
      <c r="F68" s="45"/>
      <c r="G68" s="45"/>
      <c r="H68" s="107"/>
      <c r="I68" s="62"/>
      <c r="J68" s="3"/>
      <c r="K68" s="3"/>
      <c r="L68" s="89"/>
      <c r="M68" s="291" t="s">
        <v>54</v>
      </c>
      <c r="N68" s="292"/>
      <c r="O68" s="293"/>
      <c r="P68" s="271">
        <f>IF(G12-P66&gt;0,G12-P66,0)</f>
        <v>0</v>
      </c>
      <c r="Q68" s="253"/>
      <c r="R68" s="254"/>
      <c r="S68" s="255" t="s">
        <v>169</v>
      </c>
      <c r="T68" s="271">
        <f>IF($P$73="Yes",IF(G12*0.5-T66-P66&gt;0,G12*0.5-T66-P66,0),0)</f>
        <v>0</v>
      </c>
      <c r="U68" s="254"/>
      <c r="V68" s="30"/>
      <c r="X68" s="4"/>
      <c r="Y68" s="4"/>
      <c r="Z68" s="4"/>
      <c r="AA68" s="4"/>
      <c r="AB68" s="4"/>
      <c r="AE68" s="2"/>
      <c r="AF68" s="2"/>
      <c r="AO68" s="28"/>
      <c r="AP68" s="28"/>
    </row>
    <row r="69" spans="1:42" ht="63.75">
      <c r="A69" s="13"/>
      <c r="B69" s="159"/>
      <c r="C69" s="51"/>
      <c r="D69" s="159"/>
      <c r="E69" s="51"/>
      <c r="F69" s="51"/>
      <c r="G69" s="51"/>
      <c r="H69" s="107"/>
      <c r="I69" s="27"/>
      <c r="J69" s="3"/>
      <c r="K69" s="3"/>
      <c r="L69" s="89"/>
      <c r="M69" s="291" t="s">
        <v>97</v>
      </c>
      <c r="N69" s="292"/>
      <c r="O69" s="293"/>
      <c r="P69" s="271">
        <f>IF(G12-P66&gt;0,(G12-P66)*7.48,0)</f>
        <v>0</v>
      </c>
      <c r="Q69" s="369" t="str">
        <f>IF('Site Data'!E13="No",IF(P69=0,"Congratulations!! You have exceeded the required SWRv by "&amp;ROUND((P66-G12)*7.48,0)&amp;" gallons which may be able to be used to generate SRCs.","Off Site Retention may be needed."), IF(P69=0,"Congratulations!! You have exceeded the required SWRv by "&amp;ROUND((P66-G12)*7.48,0)&amp;" gallons which contributes to meeting WQTv requirements.","Off Site Retention may be needed."))</f>
        <v>Congratulations!! You have exceeded the required SWRv by 0 gallons which may be able to be used to generate SRCs.</v>
      </c>
      <c r="R69" s="369"/>
      <c r="S69" s="255" t="s">
        <v>170</v>
      </c>
      <c r="T69" s="271">
        <f>T68*7.48</f>
        <v>0</v>
      </c>
      <c r="U69" s="271" t="str">
        <f>IF($P$73="Yes",IF(T68=0,"You have met the required treatment volume.",""),"")</f>
        <v/>
      </c>
      <c r="V69" s="30"/>
      <c r="X69" s="4"/>
      <c r="Y69" s="4"/>
      <c r="Z69" s="4"/>
      <c r="AA69" s="4"/>
      <c r="AB69" s="4"/>
      <c r="AE69" s="2"/>
      <c r="AF69" s="2"/>
      <c r="AO69" s="28"/>
      <c r="AP69" s="28"/>
    </row>
    <row r="70" spans="1:42">
      <c r="A70" s="42"/>
      <c r="B70" s="160"/>
      <c r="C70" s="42"/>
      <c r="D70" s="160"/>
      <c r="E70" s="42"/>
      <c r="F70" s="42"/>
      <c r="G70" s="42"/>
      <c r="H70" s="130"/>
      <c r="I70" s="3"/>
      <c r="J70" s="3"/>
      <c r="K70" s="3"/>
      <c r="L70" s="89"/>
      <c r="M70" s="257"/>
      <c r="N70" s="258"/>
      <c r="O70" s="257"/>
      <c r="P70" s="257"/>
      <c r="Q70" s="257"/>
      <c r="R70" s="257"/>
      <c r="S70" s="258"/>
      <c r="T70" s="258"/>
      <c r="U70" s="258"/>
      <c r="V70" s="3"/>
      <c r="X70" s="4"/>
      <c r="Y70" s="4"/>
      <c r="Z70" s="4"/>
      <c r="AA70" s="4"/>
      <c r="AB70" s="4"/>
      <c r="AE70" s="2"/>
      <c r="AF70" s="2"/>
      <c r="AO70" s="28"/>
      <c r="AP70" s="28"/>
    </row>
    <row r="71" spans="1:42" ht="51">
      <c r="A71" s="42"/>
      <c r="B71" s="160"/>
      <c r="C71" s="42"/>
      <c r="D71" s="160"/>
      <c r="E71" s="42"/>
      <c r="F71" s="42"/>
      <c r="G71" s="42"/>
      <c r="H71" s="130"/>
      <c r="I71" s="3"/>
      <c r="J71" s="3"/>
      <c r="K71" s="3"/>
      <c r="L71" s="89"/>
      <c r="M71" s="291" t="s">
        <v>75</v>
      </c>
      <c r="N71" s="292"/>
      <c r="O71" s="293"/>
      <c r="P71" s="259" t="str">
        <f>IF(P66&gt;=0.5*G12,"Yes", "No")</f>
        <v>Yes</v>
      </c>
      <c r="Q71" s="260"/>
      <c r="R71" s="257"/>
      <c r="S71" s="255" t="s">
        <v>171</v>
      </c>
      <c r="T71" s="271" t="str">
        <f>IF('Site Data'!E13="Yes",IF(G17-T66-IF(P66&gt;G12,P66-G12,0)&gt;0,G17-T66-IF(P66&gt;G12,P66-G12,0),0),"N/A")</f>
        <v>N/A</v>
      </c>
      <c r="U71" s="271" t="str">
        <f>IF(T71=0,"You have met the required treatment volume.","")</f>
        <v/>
      </c>
      <c r="V71" s="3"/>
      <c r="X71" s="4"/>
      <c r="Y71" s="4"/>
      <c r="Z71" s="4"/>
      <c r="AA71" s="4"/>
      <c r="AB71" s="4"/>
      <c r="AE71" s="2"/>
      <c r="AF71" s="2"/>
      <c r="AO71" s="28"/>
      <c r="AP71" s="28"/>
    </row>
    <row r="72" spans="1:42" ht="51">
      <c r="B72" s="158"/>
      <c r="C72" s="45"/>
      <c r="D72" s="158"/>
      <c r="E72" s="45"/>
      <c r="F72" s="45"/>
      <c r="G72" s="45"/>
      <c r="H72" s="107"/>
      <c r="J72" s="27"/>
      <c r="K72" s="27"/>
      <c r="M72" s="366" t="s">
        <v>158</v>
      </c>
      <c r="N72" s="367"/>
      <c r="O72" s="368"/>
      <c r="P72" s="271" t="str">
        <f>IF('Site Data'!E14="Yes",IF(AND(F66&gt;=B9,COUNTIF(T23:T60,"No")=0),"Yes","No"),"N/A")</f>
        <v>N/A</v>
      </c>
      <c r="Q72" s="260"/>
      <c r="R72" s="257"/>
      <c r="S72" s="255" t="s">
        <v>172</v>
      </c>
      <c r="T72" s="271" t="str">
        <f>IF(T71="N/A","N/A",T71*7.48)</f>
        <v>N/A</v>
      </c>
      <c r="U72" s="271" t="str">
        <f>IF(T72="N/A","",IF(T72&gt;0,"Off Site Retention may be needed.",""))</f>
        <v/>
      </c>
      <c r="V72" s="3"/>
      <c r="X72" s="4"/>
      <c r="Y72" s="4"/>
      <c r="Z72" s="4"/>
      <c r="AA72" s="4"/>
      <c r="AB72" s="4"/>
      <c r="AE72" s="2"/>
      <c r="AF72" s="2"/>
      <c r="AO72" s="28"/>
      <c r="AP72" s="28"/>
    </row>
    <row r="73" spans="1:42">
      <c r="B73" s="158"/>
      <c r="C73" s="45"/>
      <c r="D73" s="158"/>
      <c r="E73" s="45"/>
      <c r="F73" s="45"/>
      <c r="G73" s="45"/>
      <c r="H73" s="107"/>
      <c r="J73" s="27"/>
      <c r="K73" s="27"/>
      <c r="L73" s="108"/>
      <c r="M73" s="290" t="s">
        <v>98</v>
      </c>
      <c r="N73" s="290"/>
      <c r="O73" s="290"/>
      <c r="P73" s="271" t="str">
        <f>IF('Site Data'!E14="No","No",IF(P71="Yes","No","Yes"))</f>
        <v>No</v>
      </c>
      <c r="Q73" s="260"/>
      <c r="R73" s="257"/>
      <c r="S73" s="258"/>
      <c r="T73" s="258"/>
      <c r="U73" s="258"/>
      <c r="V73" s="3"/>
      <c r="X73" s="4"/>
      <c r="Y73" s="4"/>
      <c r="Z73" s="4"/>
      <c r="AA73" s="4"/>
      <c r="AB73" s="4"/>
      <c r="AE73" s="2"/>
      <c r="AF73" s="2"/>
      <c r="AO73" s="28"/>
      <c r="AP73" s="28"/>
    </row>
    <row r="74" spans="1:42">
      <c r="B74" s="158"/>
      <c r="C74" s="45"/>
      <c r="D74" s="158"/>
      <c r="E74" s="45"/>
      <c r="F74" s="45"/>
      <c r="G74" s="45"/>
      <c r="H74" s="107"/>
      <c r="I74" s="76"/>
      <c r="J74" s="2"/>
      <c r="K74" s="2"/>
      <c r="L74" s="89"/>
      <c r="M74" s="257"/>
      <c r="N74" s="258"/>
      <c r="O74" s="257"/>
      <c r="P74" s="257"/>
      <c r="Q74" s="257"/>
      <c r="R74" s="257"/>
      <c r="S74" s="258"/>
      <c r="T74" s="258"/>
      <c r="U74" s="258"/>
      <c r="V74" s="3"/>
      <c r="X74" s="4"/>
      <c r="Y74" s="4"/>
      <c r="Z74" s="4"/>
      <c r="AA74" s="4"/>
      <c r="AB74" s="4"/>
      <c r="AE74" s="2"/>
      <c r="AF74" s="2"/>
      <c r="AO74" s="28"/>
      <c r="AP74" s="28"/>
    </row>
    <row r="75" spans="1:42">
      <c r="B75" s="158"/>
      <c r="C75" s="45"/>
      <c r="D75" s="158"/>
      <c r="E75" s="45"/>
      <c r="F75" s="45"/>
      <c r="G75" s="45"/>
      <c r="H75" s="107"/>
      <c r="I75" s="76"/>
      <c r="J75" s="2"/>
      <c r="K75" s="2"/>
      <c r="L75" s="89"/>
      <c r="M75" s="290" t="s">
        <v>105</v>
      </c>
      <c r="N75" s="290"/>
      <c r="O75" s="290"/>
      <c r="P75" s="271" t="str">
        <f>IF(P72="No","No",IF(P73="No","Yes",IF(T68=0,"Yes","No")))</f>
        <v>Yes</v>
      </c>
      <c r="Q75" s="257"/>
      <c r="R75" s="257"/>
      <c r="S75" s="258"/>
      <c r="T75" s="258"/>
      <c r="U75" s="258"/>
      <c r="V75" s="3"/>
      <c r="X75" s="4"/>
      <c r="Y75" s="4"/>
      <c r="Z75" s="4"/>
      <c r="AA75" s="4"/>
      <c r="AB75" s="4"/>
      <c r="AE75" s="2"/>
      <c r="AF75" s="2"/>
      <c r="AO75" s="28"/>
      <c r="AP75" s="28"/>
    </row>
    <row r="76" spans="1:42" ht="25.5" hidden="1">
      <c r="A76" s="190" t="s">
        <v>17</v>
      </c>
      <c r="B76" s="158" t="s">
        <v>189</v>
      </c>
      <c r="C76" s="45"/>
      <c r="D76" s="158"/>
      <c r="E76" s="45"/>
      <c r="G76" s="76"/>
      <c r="K76" s="102"/>
      <c r="L76" s="145"/>
      <c r="M76" s="102"/>
      <c r="N76" s="102"/>
      <c r="O76" s="89"/>
      <c r="P76" s="89"/>
      <c r="T76" s="3"/>
      <c r="V76" s="4"/>
      <c r="W76" s="4"/>
      <c r="X76" s="4"/>
      <c r="Y76" s="4"/>
      <c r="Z76" s="4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2" hidden="1">
      <c r="A77" s="175" t="s">
        <v>34</v>
      </c>
      <c r="B77" s="158">
        <f>P23+IF(R23="N/A",0,R23)</f>
        <v>0</v>
      </c>
      <c r="C77" s="45"/>
      <c r="D77" s="158"/>
      <c r="E77" s="45"/>
      <c r="F77" s="107"/>
      <c r="G77" s="76"/>
      <c r="H77" s="3"/>
      <c r="K77" s="165"/>
      <c r="L77" s="165"/>
      <c r="M77" s="165"/>
      <c r="N77" s="166"/>
      <c r="O77" s="89"/>
      <c r="P77" s="89"/>
      <c r="R77" s="76"/>
      <c r="S77" s="76"/>
      <c r="T77" s="3"/>
      <c r="V77" s="4"/>
      <c r="W77" s="4"/>
      <c r="X77" s="4"/>
      <c r="Y77" s="4"/>
      <c r="Z77" s="4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2" hidden="1">
      <c r="A78" s="175" t="s">
        <v>49</v>
      </c>
      <c r="B78" s="158">
        <f>P25+IF(R25="N/A",0,R25)</f>
        <v>0</v>
      </c>
      <c r="C78" s="45"/>
      <c r="D78" s="158"/>
      <c r="E78" s="45"/>
      <c r="F78" s="107"/>
      <c r="G78" s="76"/>
      <c r="H78" s="3"/>
      <c r="N78" s="127"/>
      <c r="O78" s="89"/>
      <c r="P78" s="89"/>
      <c r="R78" s="76"/>
      <c r="S78" s="76"/>
      <c r="T78" s="3"/>
      <c r="V78" s="4"/>
      <c r="W78" s="4"/>
      <c r="X78" s="4"/>
      <c r="Y78" s="4"/>
      <c r="Z78" s="4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2" hidden="1">
      <c r="A79" s="175" t="s">
        <v>39</v>
      </c>
      <c r="B79" s="158">
        <f>P27+IF(R27="N/A",0,R27)</f>
        <v>0</v>
      </c>
      <c r="C79" s="45"/>
      <c r="D79" s="158"/>
      <c r="E79" s="45"/>
      <c r="F79" s="107"/>
      <c r="G79" s="76"/>
      <c r="H79" s="3"/>
      <c r="N79" s="127"/>
      <c r="O79" s="89"/>
      <c r="P79" s="89"/>
      <c r="R79" s="76"/>
      <c r="S79" s="76"/>
      <c r="T79" s="3"/>
      <c r="V79" s="4"/>
      <c r="W79" s="4"/>
      <c r="X79" s="4"/>
      <c r="Y79" s="4"/>
      <c r="Z79" s="4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2" hidden="1">
      <c r="A80" s="175" t="s">
        <v>40</v>
      </c>
      <c r="B80" s="158">
        <f>P29+IF(R29="N/A",0,R29)</f>
        <v>0</v>
      </c>
      <c r="C80" s="45"/>
      <c r="D80" s="158"/>
      <c r="E80" s="45"/>
      <c r="F80" s="107"/>
      <c r="G80" s="76"/>
      <c r="H80" s="3"/>
      <c r="N80" s="127"/>
      <c r="O80" s="89"/>
      <c r="P80" s="89"/>
      <c r="R80" s="76"/>
      <c r="S80" s="76"/>
      <c r="T80" s="3"/>
      <c r="V80" s="4"/>
      <c r="W80" s="4"/>
      <c r="X80" s="4"/>
      <c r="Y80" s="4"/>
      <c r="Z80" s="4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idden="1">
      <c r="A81" s="175" t="s">
        <v>41</v>
      </c>
      <c r="B81" s="158">
        <f>P31+IF(R31="N/A",0,R31)</f>
        <v>0</v>
      </c>
      <c r="C81" s="45"/>
      <c r="D81" s="158"/>
      <c r="E81" s="45"/>
      <c r="F81" s="107"/>
      <c r="G81" s="76"/>
      <c r="H81" s="3"/>
      <c r="N81" s="127"/>
      <c r="O81" s="89"/>
      <c r="P81" s="89"/>
      <c r="R81" s="76"/>
      <c r="S81" s="76"/>
      <c r="T81" s="3"/>
      <c r="V81" s="4"/>
      <c r="W81" s="4"/>
      <c r="X81" s="4"/>
      <c r="Y81" s="4"/>
      <c r="Z81" s="4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idden="1">
      <c r="A82" s="237" t="s">
        <v>129</v>
      </c>
      <c r="B82" s="158">
        <f>P33+IF(R33="N/A",0,R33)</f>
        <v>0</v>
      </c>
      <c r="C82" s="45"/>
      <c r="D82" s="158"/>
      <c r="E82" s="45"/>
      <c r="F82" s="107"/>
      <c r="G82" s="76"/>
      <c r="H82" s="3"/>
      <c r="N82" s="127"/>
      <c r="O82" s="89"/>
      <c r="P82" s="89"/>
      <c r="R82" s="76"/>
      <c r="S82" s="76"/>
      <c r="T82" s="3"/>
      <c r="V82" s="4"/>
      <c r="W82" s="4"/>
      <c r="X82" s="4"/>
      <c r="Y82" s="4"/>
      <c r="Z82" s="4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idden="1">
      <c r="A83" s="236" t="s">
        <v>128</v>
      </c>
      <c r="B83" s="158">
        <f>P35+IF(R35="N/A",0,R35)</f>
        <v>0</v>
      </c>
      <c r="C83" s="45"/>
      <c r="D83" s="158"/>
      <c r="E83" s="45"/>
      <c r="F83" s="107"/>
      <c r="G83" s="76"/>
      <c r="H83" s="3"/>
      <c r="N83" s="127"/>
      <c r="O83" s="89"/>
      <c r="P83" s="89"/>
      <c r="R83" s="76"/>
      <c r="S83" s="76"/>
      <c r="T83" s="3"/>
      <c r="V83" s="4"/>
      <c r="W83" s="4"/>
      <c r="X83" s="4"/>
      <c r="Y83" s="4"/>
      <c r="Z83" s="4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idden="1">
      <c r="A84" s="75" t="s">
        <v>55</v>
      </c>
      <c r="B84" s="158">
        <f>P37+IF(R37="N/A",0,R37)</f>
        <v>0</v>
      </c>
      <c r="C84" s="45"/>
      <c r="D84" s="158"/>
      <c r="E84" s="45"/>
      <c r="F84" s="107"/>
      <c r="G84" s="76"/>
      <c r="H84" s="3"/>
      <c r="N84" s="127"/>
      <c r="O84" s="89"/>
      <c r="P84" s="89"/>
      <c r="R84" s="76"/>
      <c r="S84" s="76"/>
      <c r="T84" s="3"/>
      <c r="V84" s="4"/>
      <c r="W84" s="4"/>
      <c r="X84" s="4"/>
      <c r="Y84" s="4"/>
      <c r="Z84" s="4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idden="1">
      <c r="A85" s="75" t="s">
        <v>56</v>
      </c>
      <c r="B85" s="158">
        <f>P39+IF(R39="N/A",0,R39)</f>
        <v>0</v>
      </c>
      <c r="C85" s="45"/>
      <c r="D85" s="158"/>
      <c r="E85" s="45"/>
      <c r="F85" s="107"/>
      <c r="G85" s="76"/>
      <c r="H85" s="3"/>
      <c r="N85" s="127"/>
      <c r="O85" s="89"/>
      <c r="P85" s="89"/>
      <c r="R85" s="76"/>
      <c r="S85" s="76"/>
      <c r="T85" s="3"/>
      <c r="V85" s="4"/>
      <c r="W85" s="4"/>
      <c r="X85" s="4"/>
      <c r="Y85" s="4"/>
      <c r="Z85" s="4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idden="1">
      <c r="A86" s="75" t="s">
        <v>126</v>
      </c>
      <c r="B86" s="158">
        <f>P41+IF(R41="N/A",0,R41)</f>
        <v>0</v>
      </c>
      <c r="C86" s="45"/>
      <c r="D86" s="158"/>
      <c r="E86" s="45"/>
      <c r="F86" s="107"/>
      <c r="G86" s="76"/>
      <c r="H86" s="3"/>
      <c r="N86" s="127"/>
      <c r="O86" s="89"/>
      <c r="P86" s="89"/>
      <c r="R86" s="76"/>
      <c r="S86" s="76"/>
      <c r="T86" s="3"/>
      <c r="V86" s="4"/>
      <c r="W86" s="4"/>
      <c r="X86" s="4"/>
      <c r="Y86" s="4"/>
      <c r="Z86" s="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idden="1">
      <c r="A87" s="75" t="s">
        <v>43</v>
      </c>
      <c r="B87" s="158">
        <f>P43+IF(R43="N/A",0,R43)</f>
        <v>0</v>
      </c>
      <c r="C87" s="45"/>
      <c r="D87" s="158"/>
      <c r="E87" s="45"/>
      <c r="F87" s="107"/>
      <c r="G87" s="76"/>
      <c r="H87" s="3"/>
      <c r="N87" s="127"/>
      <c r="O87" s="89"/>
      <c r="P87" s="89"/>
      <c r="R87" s="76"/>
      <c r="S87" s="76"/>
      <c r="T87" s="3"/>
      <c r="V87" s="4"/>
      <c r="W87" s="4"/>
      <c r="X87" s="4"/>
      <c r="Y87" s="4"/>
      <c r="Z87" s="4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idden="1">
      <c r="A88" s="75" t="s">
        <v>68</v>
      </c>
      <c r="B88" s="158">
        <f>P45+IF(R45="N/A",0,R45)</f>
        <v>0</v>
      </c>
      <c r="C88" s="45"/>
      <c r="D88" s="158"/>
      <c r="E88" s="45"/>
      <c r="F88" s="107"/>
      <c r="G88" s="76"/>
      <c r="H88" s="3"/>
      <c r="N88" s="127"/>
      <c r="O88" s="89"/>
      <c r="P88" s="89"/>
      <c r="R88" s="76"/>
      <c r="S88" s="76"/>
      <c r="T88" s="3"/>
      <c r="V88" s="4"/>
      <c r="W88" s="4"/>
      <c r="X88" s="4"/>
      <c r="Y88" s="4"/>
      <c r="Z88" s="4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idden="1">
      <c r="A89" s="75" t="s">
        <v>66</v>
      </c>
      <c r="B89" s="158">
        <f>P47+IF(R47="N/A",0,R47)</f>
        <v>0</v>
      </c>
      <c r="C89" s="28"/>
      <c r="D89" s="26"/>
      <c r="E89" s="28"/>
      <c r="F89" s="109"/>
      <c r="G89" s="76"/>
      <c r="H89" s="191"/>
      <c r="N89" s="127"/>
      <c r="O89" s="112"/>
      <c r="P89" s="112"/>
      <c r="R89" s="76"/>
      <c r="S89" s="76"/>
      <c r="T89" s="4"/>
      <c r="U89" s="4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idden="1">
      <c r="A90" s="75" t="s">
        <v>67</v>
      </c>
      <c r="B90" s="158">
        <f>P49+IF(R49="N/A",0,R49)</f>
        <v>0</v>
      </c>
      <c r="C90" s="28"/>
      <c r="D90" s="26"/>
      <c r="E90" s="28"/>
      <c r="F90" s="109"/>
      <c r="G90" s="76"/>
      <c r="H90" s="36"/>
      <c r="N90" s="127"/>
      <c r="O90" s="112"/>
      <c r="P90" s="112"/>
      <c r="R90" s="76"/>
      <c r="S90" s="76"/>
      <c r="T90" s="4"/>
      <c r="U90" s="4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idden="1">
      <c r="A91" s="75" t="s">
        <v>62</v>
      </c>
      <c r="B91" s="158">
        <f>P51+IF(R51="N/A",0,R51)</f>
        <v>0</v>
      </c>
      <c r="C91" s="28"/>
      <c r="D91" s="26"/>
      <c r="E91" s="28"/>
      <c r="F91" s="109"/>
      <c r="G91" s="76"/>
      <c r="H91" s="36"/>
      <c r="N91" s="127"/>
      <c r="O91" s="112"/>
      <c r="P91" s="112"/>
      <c r="R91" s="76"/>
      <c r="S91" s="76"/>
      <c r="T91" s="4"/>
      <c r="U91" s="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idden="1">
      <c r="A92" s="75" t="s">
        <v>63</v>
      </c>
      <c r="B92" s="158">
        <f>P53+IF(R53="N/A",0,R53)</f>
        <v>0</v>
      </c>
      <c r="C92" s="28"/>
      <c r="D92" s="26"/>
      <c r="E92" s="28"/>
      <c r="F92" s="109"/>
      <c r="G92" s="76"/>
      <c r="H92" s="28"/>
      <c r="N92" s="127"/>
      <c r="O92" s="112"/>
      <c r="P92" s="112"/>
      <c r="R92" s="76"/>
      <c r="S92" s="76"/>
      <c r="T92" s="4"/>
      <c r="U92" s="4"/>
      <c r="V92" s="64"/>
      <c r="W92" s="64"/>
      <c r="X92" s="64"/>
      <c r="Y92" s="64"/>
      <c r="Z92" s="64"/>
    </row>
    <row r="93" spans="1:40" hidden="1">
      <c r="A93" s="75" t="s">
        <v>44</v>
      </c>
      <c r="B93" s="158">
        <f>P55+IF(R55="N/A",0,R55)</f>
        <v>0</v>
      </c>
      <c r="C93" s="28"/>
      <c r="D93" s="26"/>
      <c r="E93" s="28"/>
      <c r="F93" s="109"/>
      <c r="G93" s="76"/>
      <c r="H93" s="28"/>
      <c r="N93" s="127"/>
      <c r="O93" s="112"/>
      <c r="P93" s="112"/>
      <c r="R93" s="76"/>
      <c r="S93" s="76"/>
      <c r="T93" s="2"/>
      <c r="V93" s="64"/>
      <c r="W93" s="64"/>
      <c r="X93" s="64"/>
      <c r="Y93" s="64"/>
      <c r="Z93" s="64"/>
    </row>
    <row r="94" spans="1:40" hidden="1">
      <c r="A94" s="75" t="s">
        <v>50</v>
      </c>
      <c r="B94" s="158">
        <f>P57+IF(R57="N/A",0,R57)</f>
        <v>0</v>
      </c>
      <c r="C94" s="28"/>
      <c r="D94" s="26"/>
      <c r="E94" s="28"/>
      <c r="F94" s="109"/>
      <c r="G94" s="76"/>
      <c r="H94" s="28"/>
      <c r="N94" s="127"/>
      <c r="O94" s="112"/>
      <c r="P94" s="112"/>
      <c r="R94" s="76"/>
      <c r="S94" s="76"/>
      <c r="T94" s="2"/>
      <c r="V94" s="64"/>
      <c r="W94" s="64"/>
      <c r="X94" s="64"/>
      <c r="Y94" s="64"/>
      <c r="Z94" s="64"/>
    </row>
    <row r="95" spans="1:40" hidden="1">
      <c r="A95" s="75" t="s">
        <v>51</v>
      </c>
      <c r="B95" s="158">
        <f>P59+IF(R59="N/A",0,R59)</f>
        <v>0</v>
      </c>
      <c r="C95" s="28"/>
      <c r="D95" s="26"/>
      <c r="E95" s="28"/>
      <c r="F95" s="109"/>
      <c r="G95" s="76"/>
      <c r="H95" s="28"/>
      <c r="N95" s="127"/>
      <c r="O95" s="112"/>
      <c r="P95" s="112"/>
      <c r="R95" s="76"/>
      <c r="S95" s="76"/>
      <c r="T95" s="2"/>
      <c r="V95" s="64"/>
      <c r="W95" s="64"/>
      <c r="X95" s="64"/>
      <c r="Y95" s="64"/>
      <c r="Z95" s="64"/>
    </row>
    <row r="96" spans="1:40" hidden="1">
      <c r="A96" s="163" t="s">
        <v>94</v>
      </c>
      <c r="B96" s="158"/>
      <c r="C96" s="28"/>
      <c r="D96" s="26"/>
      <c r="E96" s="28"/>
      <c r="F96" s="109"/>
      <c r="G96" s="76"/>
      <c r="H96" s="28"/>
      <c r="N96" s="127"/>
      <c r="O96" s="112"/>
      <c r="P96" s="112"/>
      <c r="R96" s="76"/>
      <c r="S96" s="76"/>
      <c r="T96" s="3"/>
      <c r="U96" s="4"/>
    </row>
    <row r="97" spans="1:40" s="4" customFormat="1" hidden="1">
      <c r="A97" s="163" t="s">
        <v>93</v>
      </c>
      <c r="B97" s="158"/>
      <c r="C97" s="28"/>
      <c r="D97" s="26"/>
      <c r="E97" s="28"/>
      <c r="F97" s="109"/>
      <c r="G97" s="76"/>
      <c r="H97" s="28"/>
      <c r="I97" s="2"/>
      <c r="J97" s="89"/>
      <c r="K97" s="89"/>
      <c r="M97" s="89"/>
      <c r="N97" s="127"/>
      <c r="O97" s="112"/>
      <c r="P97" s="112"/>
      <c r="Q97" s="3"/>
      <c r="R97" s="76"/>
      <c r="S97" s="76"/>
      <c r="T97" s="3"/>
      <c r="V97" s="2"/>
      <c r="W97" s="2"/>
      <c r="X97" s="2"/>
      <c r="Y97" s="2"/>
      <c r="Z97" s="2"/>
      <c r="AA97" s="2"/>
      <c r="AB97" s="2"/>
      <c r="AC97" s="2"/>
      <c r="AD97" s="2"/>
      <c r="AE97" s="28"/>
      <c r="AF97" s="28"/>
      <c r="AG97" s="28"/>
      <c r="AH97" s="23"/>
      <c r="AI97" s="23"/>
      <c r="AJ97" s="23"/>
      <c r="AK97" s="23"/>
      <c r="AL97" s="23"/>
      <c r="AM97" s="23"/>
      <c r="AN97" s="23"/>
    </row>
    <row r="98" spans="1:40">
      <c r="A98" s="36"/>
      <c r="B98" s="26"/>
      <c r="C98" s="28"/>
      <c r="D98" s="26"/>
      <c r="E98" s="28"/>
      <c r="F98" s="109"/>
      <c r="G98" s="76"/>
      <c r="H98" s="28"/>
      <c r="O98" s="112"/>
      <c r="P98" s="112"/>
      <c r="R98" s="76"/>
      <c r="S98" s="76"/>
      <c r="T98" s="3"/>
      <c r="U98" s="4"/>
    </row>
    <row r="99" spans="1:40">
      <c r="A99" s="36"/>
      <c r="B99" s="26"/>
      <c r="C99" s="28"/>
      <c r="D99" s="26"/>
      <c r="E99" s="28"/>
      <c r="F99" s="109"/>
      <c r="G99" s="76"/>
      <c r="H99" s="28"/>
      <c r="N99" s="127"/>
      <c r="O99" s="112"/>
      <c r="P99" s="112"/>
      <c r="R99" s="76"/>
      <c r="S99" s="76"/>
      <c r="T99" s="3"/>
    </row>
    <row r="100" spans="1:40">
      <c r="A100" s="44"/>
      <c r="B100" s="26"/>
      <c r="C100" s="28"/>
      <c r="D100" s="26"/>
      <c r="E100" s="28"/>
      <c r="F100" s="109"/>
      <c r="G100" s="28"/>
      <c r="H100" s="28"/>
      <c r="N100" s="127"/>
      <c r="O100" s="112"/>
      <c r="P100" s="112"/>
      <c r="R100" s="76"/>
      <c r="S100" s="76"/>
      <c r="T100" s="3"/>
    </row>
    <row r="101" spans="1:40" s="28" customFormat="1">
      <c r="A101" s="191"/>
      <c r="B101" s="26"/>
      <c r="D101" s="26"/>
      <c r="F101" s="109"/>
      <c r="H101" s="191"/>
      <c r="I101" s="2"/>
      <c r="J101" s="89"/>
      <c r="K101" s="89"/>
      <c r="O101" s="112"/>
      <c r="P101" s="112"/>
      <c r="Q101" s="3"/>
      <c r="R101" s="76"/>
      <c r="S101" s="76"/>
      <c r="T101" s="26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40" s="28" customFormat="1">
      <c r="A102" s="191"/>
      <c r="B102" s="26"/>
      <c r="D102" s="26"/>
      <c r="F102" s="109"/>
      <c r="G102" s="32"/>
      <c r="H102" s="191"/>
      <c r="I102" s="2"/>
      <c r="J102" s="89"/>
      <c r="K102" s="89"/>
      <c r="M102" s="89"/>
      <c r="N102" s="127"/>
      <c r="O102" s="112"/>
      <c r="P102" s="112"/>
      <c r="Q102" s="3"/>
      <c r="R102" s="76"/>
      <c r="S102" s="76"/>
      <c r="T102" s="26"/>
    </row>
    <row r="103" spans="1:40" s="28" customFormat="1">
      <c r="A103" s="191"/>
      <c r="B103" s="26"/>
      <c r="D103" s="26"/>
      <c r="F103" s="110"/>
      <c r="G103" s="32"/>
      <c r="H103" s="191"/>
      <c r="J103" s="112"/>
      <c r="K103" s="112"/>
      <c r="M103" s="89"/>
      <c r="N103" s="127"/>
      <c r="O103" s="112"/>
      <c r="P103" s="112"/>
      <c r="Q103" s="3"/>
      <c r="R103" s="76"/>
      <c r="S103" s="76"/>
      <c r="T103" s="26"/>
    </row>
    <row r="104" spans="1:40" s="28" customFormat="1">
      <c r="A104" s="53"/>
      <c r="B104" s="26"/>
      <c r="D104" s="26"/>
      <c r="F104" s="109"/>
      <c r="G104" s="32"/>
      <c r="H104" s="53"/>
      <c r="J104" s="112"/>
      <c r="K104" s="112"/>
      <c r="M104" s="89"/>
      <c r="N104" s="127"/>
      <c r="O104" s="112"/>
      <c r="P104" s="112"/>
      <c r="Q104" s="3"/>
      <c r="R104" s="76"/>
      <c r="S104" s="76"/>
    </row>
    <row r="105" spans="1:40" s="28" customFormat="1">
      <c r="A105" s="191"/>
      <c r="B105" s="26"/>
      <c r="D105" s="26"/>
      <c r="F105" s="109"/>
      <c r="G105" s="32"/>
      <c r="H105" s="191"/>
      <c r="J105" s="112"/>
      <c r="K105" s="112"/>
      <c r="M105" s="89"/>
      <c r="N105" s="127"/>
      <c r="O105" s="112"/>
      <c r="P105" s="112"/>
      <c r="Q105" s="3"/>
      <c r="R105" s="76"/>
      <c r="S105" s="76"/>
      <c r="U105" s="23"/>
    </row>
    <row r="106" spans="1:40" s="28" customFormat="1">
      <c r="A106" s="54"/>
      <c r="B106" s="26"/>
      <c r="D106" s="26"/>
      <c r="F106" s="110"/>
      <c r="G106" s="32"/>
      <c r="H106" s="54"/>
      <c r="J106" s="112"/>
      <c r="K106" s="112"/>
      <c r="M106" s="89"/>
      <c r="N106" s="127"/>
      <c r="O106" s="112"/>
      <c r="P106" s="112"/>
      <c r="Q106" s="3"/>
      <c r="R106" s="76"/>
      <c r="S106" s="76"/>
      <c r="U106" s="23"/>
      <c r="AE106" s="56"/>
      <c r="AF106" s="56"/>
      <c r="AG106" s="56"/>
    </row>
    <row r="107" spans="1:40" s="28" customFormat="1">
      <c r="A107" s="54"/>
      <c r="B107" s="26"/>
      <c r="D107" s="26"/>
      <c r="F107" s="111"/>
      <c r="G107" s="32"/>
      <c r="H107" s="54"/>
      <c r="J107" s="112"/>
      <c r="K107" s="112"/>
      <c r="M107" s="89"/>
      <c r="N107" s="127"/>
      <c r="O107" s="113"/>
      <c r="P107" s="113"/>
      <c r="Q107" s="3"/>
      <c r="R107" s="76"/>
      <c r="S107" s="76"/>
      <c r="U107" s="23"/>
    </row>
    <row r="108" spans="1:40" s="28" customFormat="1">
      <c r="A108" s="191"/>
      <c r="B108" s="26"/>
      <c r="D108" s="26"/>
      <c r="F108" s="111"/>
      <c r="G108" s="32"/>
      <c r="H108" s="191"/>
      <c r="J108" s="112"/>
      <c r="K108" s="112"/>
      <c r="M108" s="89"/>
      <c r="N108" s="127"/>
      <c r="O108" s="113"/>
      <c r="P108" s="113"/>
      <c r="Q108" s="3"/>
      <c r="R108" s="76"/>
      <c r="S108" s="76"/>
      <c r="U108" s="23"/>
    </row>
    <row r="109" spans="1:40" s="28" customFormat="1">
      <c r="A109" s="191"/>
      <c r="B109" s="55"/>
      <c r="C109" s="32"/>
      <c r="D109" s="55"/>
      <c r="E109" s="32"/>
      <c r="F109" s="110"/>
      <c r="G109" s="32"/>
      <c r="H109" s="191"/>
      <c r="J109" s="112"/>
      <c r="K109" s="112"/>
      <c r="M109" s="89"/>
      <c r="N109" s="127"/>
      <c r="O109" s="113"/>
      <c r="P109" s="113"/>
      <c r="Q109" s="3"/>
      <c r="R109" s="76"/>
      <c r="S109" s="76"/>
      <c r="U109" s="23"/>
    </row>
    <row r="110" spans="1:40" s="28" customFormat="1">
      <c r="A110" s="191"/>
      <c r="B110" s="55"/>
      <c r="C110" s="32"/>
      <c r="D110" s="55"/>
      <c r="E110" s="32"/>
      <c r="F110" s="110"/>
      <c r="G110" s="32"/>
      <c r="H110" s="191"/>
      <c r="J110" s="112"/>
      <c r="K110" s="112"/>
      <c r="M110" s="89"/>
      <c r="N110" s="127"/>
      <c r="O110" s="113"/>
      <c r="P110" s="113"/>
      <c r="Q110" s="3"/>
      <c r="R110" s="76"/>
      <c r="S110" s="76"/>
      <c r="U110" s="23"/>
    </row>
    <row r="111" spans="1:40" s="28" customFormat="1">
      <c r="A111" s="191"/>
      <c r="B111" s="55"/>
      <c r="C111" s="32"/>
      <c r="D111" s="55"/>
      <c r="E111" s="32"/>
      <c r="F111" s="110"/>
      <c r="G111" s="32"/>
      <c r="H111" s="191"/>
      <c r="J111" s="112"/>
      <c r="K111" s="112"/>
      <c r="M111" s="89"/>
      <c r="N111" s="127"/>
      <c r="O111" s="113"/>
      <c r="P111" s="113"/>
      <c r="Q111" s="3"/>
      <c r="R111" s="76"/>
      <c r="S111" s="76"/>
      <c r="U111" s="23"/>
    </row>
    <row r="112" spans="1:40" s="28" customFormat="1">
      <c r="A112" s="191"/>
      <c r="B112" s="55"/>
      <c r="C112" s="32"/>
      <c r="D112" s="55"/>
      <c r="E112" s="32"/>
      <c r="F112" s="110"/>
      <c r="G112" s="32"/>
      <c r="H112" s="191"/>
      <c r="J112" s="112"/>
      <c r="K112" s="112"/>
      <c r="M112" s="113"/>
      <c r="N112" s="127"/>
      <c r="O112" s="113"/>
      <c r="P112" s="113"/>
      <c r="Q112" s="55"/>
      <c r="R112" s="77"/>
      <c r="S112" s="77"/>
      <c r="U112" s="23"/>
    </row>
    <row r="113" spans="1:40">
      <c r="A113" s="191"/>
      <c r="B113" s="55"/>
      <c r="C113" s="32"/>
      <c r="D113" s="55"/>
      <c r="E113" s="32"/>
      <c r="F113" s="110"/>
      <c r="G113" s="32"/>
      <c r="H113" s="191"/>
      <c r="I113" s="32"/>
      <c r="J113" s="113"/>
      <c r="K113" s="113"/>
      <c r="L113" s="32"/>
      <c r="M113" s="113"/>
      <c r="N113" s="110"/>
      <c r="O113" s="113"/>
      <c r="P113" s="113"/>
      <c r="Q113" s="191"/>
      <c r="R113" s="23"/>
      <c r="S113" s="2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33"/>
      <c r="B114" s="55"/>
      <c r="C114" s="32"/>
      <c r="D114" s="55"/>
      <c r="E114" s="32"/>
      <c r="F114" s="110"/>
      <c r="G114" s="32"/>
      <c r="H114" s="28"/>
      <c r="I114" s="32"/>
      <c r="J114" s="113"/>
      <c r="K114" s="113"/>
      <c r="L114" s="32"/>
      <c r="M114" s="113"/>
      <c r="N114" s="112"/>
      <c r="O114" s="113"/>
      <c r="P114" s="113"/>
      <c r="Q114" s="191"/>
      <c r="R114" s="23"/>
      <c r="S114" s="2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33"/>
      <c r="B115" s="55"/>
      <c r="C115" s="32"/>
      <c r="D115" s="55"/>
      <c r="E115" s="32"/>
      <c r="F115" s="131"/>
      <c r="G115" s="32"/>
      <c r="H115" s="28"/>
      <c r="I115" s="32"/>
      <c r="J115" s="113"/>
      <c r="K115" s="113"/>
      <c r="L115" s="32"/>
      <c r="M115" s="113"/>
      <c r="N115" s="112"/>
      <c r="O115" s="113"/>
      <c r="P115" s="113"/>
      <c r="Q115" s="191"/>
      <c r="R115" s="32"/>
      <c r="S115" s="32"/>
      <c r="T115" s="28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28"/>
      <c r="B116" s="55"/>
      <c r="C116" s="32"/>
      <c r="D116" s="55"/>
      <c r="E116" s="32"/>
      <c r="F116" s="128"/>
      <c r="G116" s="32"/>
      <c r="H116" s="28"/>
      <c r="I116" s="32"/>
      <c r="J116" s="113"/>
      <c r="K116" s="113"/>
      <c r="L116" s="32"/>
      <c r="M116" s="113"/>
      <c r="N116" s="112"/>
      <c r="O116" s="113"/>
      <c r="P116" s="113"/>
      <c r="Q116" s="191"/>
      <c r="R116" s="23"/>
      <c r="S116" s="23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28"/>
      <c r="B117" s="55"/>
      <c r="C117" s="32"/>
      <c r="D117" s="55"/>
      <c r="E117" s="32"/>
      <c r="F117" s="128"/>
      <c r="G117" s="32"/>
      <c r="H117" s="28"/>
      <c r="I117" s="32"/>
      <c r="J117" s="113"/>
      <c r="K117" s="113"/>
      <c r="L117" s="32"/>
      <c r="M117" s="113"/>
      <c r="N117" s="112"/>
      <c r="O117" s="113"/>
      <c r="P117" s="113"/>
      <c r="Q117" s="191"/>
      <c r="R117" s="23"/>
      <c r="S117" s="23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28"/>
      <c r="B118" s="55"/>
      <c r="C118" s="32"/>
      <c r="D118" s="55"/>
      <c r="E118" s="32"/>
      <c r="F118" s="128"/>
      <c r="G118" s="32"/>
      <c r="H118" s="28"/>
      <c r="I118" s="32"/>
      <c r="J118" s="113"/>
      <c r="K118" s="113"/>
      <c r="L118" s="32"/>
      <c r="M118" s="113"/>
      <c r="N118" s="112"/>
      <c r="O118" s="113"/>
      <c r="P118" s="113"/>
      <c r="Q118" s="28"/>
      <c r="R118" s="23"/>
      <c r="S118" s="23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6"/>
      <c r="B119" s="55"/>
      <c r="C119" s="32"/>
      <c r="D119" s="55"/>
      <c r="E119" s="32"/>
      <c r="F119" s="128"/>
      <c r="G119" s="32"/>
      <c r="H119" s="28"/>
      <c r="I119" s="32"/>
      <c r="J119" s="113"/>
      <c r="K119" s="113"/>
      <c r="L119" s="32"/>
      <c r="M119" s="113"/>
      <c r="N119" s="112"/>
      <c r="O119" s="113"/>
      <c r="P119" s="113"/>
      <c r="Q119" s="28"/>
      <c r="R119" s="23"/>
      <c r="S119" s="23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s="23" customFormat="1">
      <c r="A120" s="36"/>
      <c r="B120" s="55"/>
      <c r="C120" s="32"/>
      <c r="D120" s="55"/>
      <c r="E120" s="32"/>
      <c r="F120" s="128"/>
      <c r="G120" s="32"/>
      <c r="H120" s="28"/>
      <c r="I120" s="32"/>
      <c r="J120" s="113"/>
      <c r="K120" s="113"/>
      <c r="L120" s="32"/>
      <c r="M120" s="113"/>
      <c r="N120" s="112"/>
      <c r="O120" s="113"/>
      <c r="P120" s="113"/>
      <c r="Q120" s="32"/>
      <c r="R120" s="26"/>
      <c r="S120" s="26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40">
      <c r="A121" s="28"/>
      <c r="B121" s="26"/>
      <c r="C121" s="26"/>
      <c r="D121" s="26"/>
      <c r="E121" s="26"/>
      <c r="F121" s="128"/>
      <c r="G121" s="32"/>
      <c r="H121" s="32"/>
      <c r="I121" s="32"/>
      <c r="J121" s="113"/>
      <c r="K121" s="113"/>
      <c r="L121" s="32"/>
      <c r="M121" s="113"/>
      <c r="N121" s="113"/>
      <c r="O121" s="113"/>
      <c r="P121" s="113"/>
      <c r="Q121" s="27"/>
      <c r="R121" s="26"/>
      <c r="S121" s="26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191"/>
      <c r="B122" s="26"/>
      <c r="C122" s="28"/>
      <c r="D122" s="26"/>
      <c r="E122" s="28"/>
      <c r="F122" s="110"/>
      <c r="G122" s="32"/>
      <c r="H122" s="191"/>
      <c r="I122" s="32"/>
      <c r="J122" s="113"/>
      <c r="K122" s="113"/>
      <c r="L122" s="32"/>
      <c r="M122" s="113"/>
      <c r="N122" s="110"/>
      <c r="O122" s="113"/>
      <c r="P122" s="113"/>
      <c r="Q122" s="191"/>
      <c r="R122" s="26"/>
      <c r="S122" s="26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191"/>
      <c r="B123" s="26"/>
      <c r="C123" s="28"/>
      <c r="D123" s="26"/>
      <c r="E123" s="28"/>
      <c r="F123" s="110"/>
      <c r="G123" s="32"/>
      <c r="H123" s="191"/>
      <c r="I123" s="32"/>
      <c r="J123" s="113"/>
      <c r="K123" s="113"/>
      <c r="L123" s="32"/>
      <c r="M123" s="113"/>
      <c r="N123" s="110"/>
      <c r="O123" s="113"/>
      <c r="P123" s="113"/>
      <c r="Q123" s="191"/>
      <c r="R123" s="26"/>
      <c r="S123" s="26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191"/>
      <c r="B124" s="55"/>
      <c r="C124" s="32"/>
      <c r="D124" s="55"/>
      <c r="E124" s="32"/>
      <c r="F124" s="110"/>
      <c r="G124" s="32"/>
      <c r="H124" s="191"/>
      <c r="I124" s="32"/>
      <c r="J124" s="113"/>
      <c r="K124" s="113"/>
      <c r="L124" s="32"/>
      <c r="M124" s="113"/>
      <c r="N124" s="110"/>
      <c r="O124" s="113"/>
      <c r="P124" s="113"/>
      <c r="Q124" s="191"/>
      <c r="R124" s="26"/>
      <c r="S124" s="26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53"/>
      <c r="B125" s="55"/>
      <c r="C125" s="32"/>
      <c r="D125" s="55"/>
      <c r="E125" s="32"/>
      <c r="F125" s="109"/>
      <c r="G125" s="32"/>
      <c r="H125" s="53"/>
      <c r="I125" s="32"/>
      <c r="J125" s="113"/>
      <c r="K125" s="112"/>
      <c r="L125" s="28"/>
      <c r="M125" s="112"/>
      <c r="N125" s="109"/>
      <c r="O125" s="113"/>
      <c r="P125" s="113"/>
      <c r="Q125" s="53"/>
      <c r="R125" s="26"/>
      <c r="S125" s="26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53"/>
      <c r="B126" s="55"/>
      <c r="C126" s="32"/>
      <c r="D126" s="55"/>
      <c r="E126" s="32"/>
      <c r="F126" s="109"/>
      <c r="G126" s="28"/>
      <c r="H126" s="53"/>
      <c r="I126" s="32"/>
      <c r="J126" s="113"/>
      <c r="K126" s="112"/>
      <c r="L126" s="28"/>
      <c r="M126" s="112"/>
      <c r="N126" s="109"/>
      <c r="O126" s="113"/>
      <c r="P126" s="113"/>
      <c r="Q126" s="53"/>
      <c r="R126" s="26"/>
      <c r="S126" s="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191"/>
      <c r="B127" s="55"/>
      <c r="C127" s="32"/>
      <c r="D127" s="55"/>
      <c r="E127" s="32"/>
      <c r="F127" s="110"/>
      <c r="G127" s="28"/>
      <c r="H127" s="191"/>
      <c r="I127" s="32"/>
      <c r="J127" s="113"/>
      <c r="K127" s="112"/>
      <c r="L127" s="28"/>
      <c r="M127" s="112"/>
      <c r="N127" s="110"/>
      <c r="O127" s="112"/>
      <c r="P127" s="112"/>
      <c r="Q127" s="191"/>
      <c r="R127" s="26"/>
      <c r="S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54"/>
      <c r="B128" s="55"/>
      <c r="C128" s="32"/>
      <c r="D128" s="55"/>
      <c r="E128" s="32"/>
      <c r="F128" s="111"/>
      <c r="G128" s="28"/>
      <c r="H128" s="54"/>
      <c r="I128" s="32"/>
      <c r="J128" s="113"/>
      <c r="K128" s="112"/>
      <c r="L128" s="28"/>
      <c r="M128" s="112"/>
      <c r="N128" s="111"/>
      <c r="O128" s="112"/>
      <c r="P128" s="112"/>
      <c r="Q128" s="54"/>
      <c r="R128" s="26"/>
      <c r="S128" s="26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20" s="28" customFormat="1">
      <c r="A129" s="191"/>
      <c r="B129" s="55"/>
      <c r="C129" s="32"/>
      <c r="D129" s="55"/>
      <c r="E129" s="32"/>
      <c r="F129" s="110"/>
      <c r="H129" s="54"/>
      <c r="I129" s="32"/>
      <c r="J129" s="113"/>
      <c r="K129" s="112"/>
      <c r="M129" s="112"/>
      <c r="N129" s="111"/>
      <c r="O129" s="112"/>
      <c r="P129" s="112"/>
      <c r="Q129" s="54"/>
      <c r="R129" s="26"/>
      <c r="S129" s="26"/>
    </row>
    <row r="130" spans="1:20" s="28" customFormat="1">
      <c r="A130" s="191"/>
      <c r="B130" s="55"/>
      <c r="C130" s="32"/>
      <c r="D130" s="55"/>
      <c r="E130" s="32"/>
      <c r="F130" s="110"/>
      <c r="H130" s="191"/>
      <c r="I130" s="32"/>
      <c r="J130" s="113"/>
      <c r="K130" s="112"/>
      <c r="M130" s="112"/>
      <c r="N130" s="110"/>
      <c r="O130" s="112"/>
      <c r="P130" s="112"/>
      <c r="Q130" s="191"/>
      <c r="R130" s="26"/>
      <c r="S130" s="26"/>
    </row>
    <row r="131" spans="1:20" s="28" customFormat="1">
      <c r="A131" s="191"/>
      <c r="B131" s="55"/>
      <c r="C131" s="32"/>
      <c r="D131" s="55"/>
      <c r="E131" s="32"/>
      <c r="F131" s="110"/>
      <c r="H131" s="191"/>
      <c r="I131" s="32"/>
      <c r="J131" s="113"/>
      <c r="K131" s="112"/>
      <c r="M131" s="112"/>
      <c r="N131" s="110"/>
      <c r="O131" s="112"/>
      <c r="P131" s="112"/>
      <c r="Q131" s="191"/>
      <c r="R131" s="23"/>
      <c r="S131" s="23"/>
    </row>
    <row r="132" spans="1:20" s="28" customFormat="1">
      <c r="A132" s="191"/>
      <c r="B132" s="55"/>
      <c r="C132" s="32"/>
      <c r="D132" s="55"/>
      <c r="E132" s="32"/>
      <c r="F132" s="110"/>
      <c r="H132" s="191"/>
      <c r="J132" s="112"/>
      <c r="K132" s="112"/>
      <c r="M132" s="112"/>
      <c r="N132" s="110"/>
      <c r="O132" s="112"/>
      <c r="P132" s="112"/>
      <c r="Q132" s="191"/>
      <c r="R132" s="23"/>
      <c r="S132" s="23"/>
    </row>
    <row r="133" spans="1:20" s="28" customFormat="1">
      <c r="A133" s="191"/>
      <c r="B133" s="55"/>
      <c r="C133" s="32"/>
      <c r="D133" s="55"/>
      <c r="E133" s="32"/>
      <c r="F133" s="110"/>
      <c r="H133" s="191"/>
      <c r="J133" s="112"/>
      <c r="K133" s="112"/>
      <c r="M133" s="112"/>
      <c r="N133" s="110"/>
      <c r="O133" s="112"/>
      <c r="P133" s="112"/>
      <c r="Q133" s="191"/>
      <c r="R133" s="26"/>
      <c r="S133" s="26"/>
    </row>
    <row r="134" spans="1:20" s="28" customFormat="1">
      <c r="A134" s="191"/>
      <c r="B134" s="55"/>
      <c r="C134" s="32"/>
      <c r="D134" s="55"/>
      <c r="E134" s="32"/>
      <c r="F134" s="110"/>
      <c r="H134" s="191"/>
      <c r="J134" s="112"/>
      <c r="K134" s="112"/>
      <c r="M134" s="112"/>
      <c r="N134" s="110"/>
      <c r="O134" s="112"/>
      <c r="P134" s="112"/>
      <c r="Q134" s="191"/>
      <c r="R134" s="26"/>
      <c r="S134" s="26"/>
    </row>
    <row r="135" spans="1:20" s="28" customFormat="1">
      <c r="A135" s="33"/>
      <c r="B135" s="55"/>
      <c r="C135" s="32"/>
      <c r="D135" s="55"/>
      <c r="E135" s="32"/>
      <c r="F135" s="131"/>
      <c r="J135" s="112"/>
      <c r="K135" s="112"/>
      <c r="M135" s="112"/>
      <c r="N135" s="112"/>
      <c r="O135" s="112"/>
      <c r="P135" s="112"/>
      <c r="R135" s="26"/>
      <c r="S135" s="26"/>
    </row>
    <row r="136" spans="1:20" s="28" customFormat="1">
      <c r="A136" s="33"/>
      <c r="B136" s="55"/>
      <c r="C136" s="32"/>
      <c r="D136" s="55"/>
      <c r="E136" s="32"/>
      <c r="F136" s="131"/>
      <c r="J136" s="112"/>
      <c r="K136" s="112"/>
      <c r="M136" s="112"/>
      <c r="N136" s="112"/>
      <c r="O136" s="112"/>
      <c r="P136" s="112"/>
      <c r="R136" s="32"/>
      <c r="S136" s="32"/>
      <c r="T136" s="23"/>
    </row>
    <row r="137" spans="1:20" s="28" customFormat="1">
      <c r="A137" s="53"/>
      <c r="B137" s="55"/>
      <c r="C137" s="32"/>
      <c r="D137" s="55"/>
      <c r="E137" s="32"/>
      <c r="F137" s="109"/>
      <c r="H137" s="23"/>
      <c r="I137" s="32"/>
      <c r="J137" s="113"/>
      <c r="K137" s="112"/>
      <c r="L137" s="26"/>
      <c r="M137" s="112"/>
      <c r="N137" s="112"/>
      <c r="O137" s="112"/>
      <c r="P137" s="112"/>
      <c r="R137" s="32"/>
      <c r="S137" s="32"/>
      <c r="T137" s="23"/>
    </row>
    <row r="138" spans="1:20" s="28" customFormat="1">
      <c r="A138" s="53"/>
      <c r="B138" s="55"/>
      <c r="C138" s="32"/>
      <c r="D138" s="55"/>
      <c r="E138" s="32"/>
      <c r="F138" s="109"/>
      <c r="I138" s="32"/>
      <c r="J138" s="113"/>
      <c r="K138" s="112"/>
      <c r="L138" s="26"/>
      <c r="M138" s="112"/>
      <c r="N138" s="102"/>
      <c r="O138" s="112"/>
      <c r="P138" s="112"/>
      <c r="R138" s="32"/>
      <c r="S138" s="32"/>
      <c r="T138" s="23"/>
    </row>
    <row r="139" spans="1:20" s="28" customFormat="1">
      <c r="B139" s="55"/>
      <c r="C139" s="32"/>
      <c r="D139" s="55"/>
      <c r="E139" s="32"/>
      <c r="F139" s="128"/>
      <c r="H139" s="32"/>
      <c r="I139" s="32"/>
      <c r="J139" s="113"/>
      <c r="K139" s="112"/>
      <c r="L139" s="26"/>
      <c r="M139" s="112"/>
      <c r="N139" s="112"/>
      <c r="O139" s="112"/>
      <c r="P139" s="112"/>
      <c r="R139" s="32"/>
      <c r="S139" s="32"/>
      <c r="T139" s="23"/>
    </row>
    <row r="140" spans="1:20" s="28" customFormat="1">
      <c r="A140" s="36"/>
      <c r="B140" s="55"/>
      <c r="C140" s="32"/>
      <c r="D140" s="55"/>
      <c r="E140" s="32"/>
      <c r="F140" s="128"/>
      <c r="I140" s="32"/>
      <c r="J140" s="113"/>
      <c r="K140" s="112"/>
      <c r="L140" s="26"/>
      <c r="M140" s="112"/>
      <c r="N140" s="113"/>
      <c r="O140" s="112"/>
      <c r="P140" s="112"/>
      <c r="R140" s="32"/>
      <c r="S140" s="32"/>
      <c r="T140" s="23"/>
    </row>
    <row r="141" spans="1:20" s="28" customFormat="1">
      <c r="A141" s="36"/>
      <c r="B141" s="55"/>
      <c r="C141" s="32"/>
      <c r="D141" s="55"/>
      <c r="E141" s="32"/>
      <c r="F141" s="128"/>
      <c r="I141" s="32"/>
      <c r="J141" s="113"/>
      <c r="K141" s="112"/>
      <c r="L141" s="26"/>
      <c r="M141" s="112"/>
      <c r="N141" s="112"/>
      <c r="O141" s="112"/>
      <c r="P141" s="112"/>
      <c r="Q141" s="27"/>
      <c r="R141" s="32"/>
      <c r="S141" s="32"/>
      <c r="T141" s="23"/>
    </row>
    <row r="142" spans="1:20" s="28" customFormat="1">
      <c r="B142" s="55"/>
      <c r="C142" s="32"/>
      <c r="D142" s="55"/>
      <c r="E142" s="32"/>
      <c r="F142" s="128"/>
      <c r="J142" s="112"/>
      <c r="K142" s="112"/>
      <c r="L142" s="26"/>
      <c r="M142" s="112"/>
      <c r="N142" s="112"/>
      <c r="O142" s="112"/>
      <c r="P142" s="112"/>
      <c r="Q142" s="23"/>
      <c r="R142" s="32"/>
      <c r="S142" s="32"/>
      <c r="T142" s="23"/>
    </row>
    <row r="143" spans="1:20" s="28" customFormat="1">
      <c r="B143" s="55"/>
      <c r="C143" s="32"/>
      <c r="D143" s="55"/>
      <c r="E143" s="32"/>
      <c r="F143" s="128"/>
      <c r="J143" s="112"/>
      <c r="K143" s="112"/>
      <c r="L143" s="26"/>
      <c r="M143" s="112"/>
      <c r="N143" s="112"/>
      <c r="O143" s="112"/>
      <c r="P143" s="112"/>
      <c r="Q143" s="27"/>
      <c r="R143" s="32"/>
      <c r="S143" s="32"/>
      <c r="T143" s="23"/>
    </row>
    <row r="144" spans="1:20" s="28" customFormat="1">
      <c r="B144" s="55"/>
      <c r="C144" s="32"/>
      <c r="D144" s="55"/>
      <c r="E144" s="32"/>
      <c r="F144" s="132"/>
      <c r="J144" s="112"/>
      <c r="K144" s="112"/>
      <c r="L144" s="26"/>
      <c r="M144" s="112"/>
      <c r="N144" s="112"/>
      <c r="O144" s="112"/>
      <c r="P144" s="112"/>
      <c r="Q144" s="32"/>
      <c r="R144" s="32"/>
      <c r="S144" s="32"/>
      <c r="T144" s="23"/>
    </row>
    <row r="145" spans="1:40">
      <c r="A145" s="28"/>
      <c r="B145" s="55"/>
      <c r="C145" s="32"/>
      <c r="D145" s="55"/>
      <c r="E145" s="32"/>
      <c r="F145" s="128"/>
      <c r="G145" s="28"/>
      <c r="H145" s="28"/>
      <c r="I145" s="28"/>
      <c r="J145" s="112"/>
      <c r="K145" s="112"/>
      <c r="L145" s="26"/>
      <c r="M145" s="112"/>
      <c r="N145" s="112"/>
      <c r="O145" s="112"/>
      <c r="P145" s="112"/>
      <c r="Q145" s="28"/>
      <c r="R145" s="32"/>
      <c r="S145" s="32"/>
      <c r="T145" s="269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28"/>
      <c r="B146" s="26"/>
      <c r="C146" s="28"/>
      <c r="D146" s="26"/>
      <c r="E146" s="28"/>
      <c r="F146" s="128"/>
      <c r="G146" s="28"/>
      <c r="H146" s="28"/>
      <c r="I146" s="28"/>
      <c r="J146" s="112"/>
      <c r="K146" s="112"/>
      <c r="L146" s="26"/>
      <c r="M146" s="112"/>
      <c r="N146" s="112"/>
      <c r="O146" s="112"/>
      <c r="P146" s="112"/>
      <c r="Q146" s="28"/>
      <c r="R146" s="32"/>
      <c r="S146" s="32"/>
      <c r="T146" s="23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28"/>
      <c r="B147" s="26"/>
      <c r="C147" s="28"/>
      <c r="D147" s="26"/>
      <c r="E147" s="28"/>
      <c r="F147" s="133"/>
      <c r="G147" s="28"/>
      <c r="H147" s="28"/>
      <c r="I147" s="28"/>
      <c r="J147" s="112"/>
      <c r="K147" s="112"/>
      <c r="L147" s="26"/>
      <c r="M147" s="112"/>
      <c r="N147" s="112"/>
      <c r="O147" s="112"/>
      <c r="P147" s="112"/>
      <c r="Q147" s="28"/>
      <c r="R147" s="269"/>
      <c r="S147" s="269"/>
      <c r="T147" s="23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28"/>
      <c r="B148" s="26"/>
      <c r="C148" s="28"/>
      <c r="D148" s="26"/>
      <c r="E148" s="28"/>
      <c r="F148" s="134"/>
      <c r="G148" s="28"/>
      <c r="H148" s="28"/>
      <c r="I148" s="28"/>
      <c r="J148" s="112"/>
      <c r="K148" s="112"/>
      <c r="L148" s="26"/>
      <c r="M148" s="112"/>
      <c r="N148" s="112"/>
      <c r="O148" s="112"/>
      <c r="P148" s="112"/>
      <c r="Q148" s="28"/>
      <c r="R148" s="269"/>
      <c r="S148" s="269"/>
      <c r="T148" s="23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23"/>
      <c r="B149" s="26"/>
      <c r="C149" s="28"/>
      <c r="D149" s="26"/>
      <c r="E149" s="28"/>
      <c r="F149" s="134"/>
      <c r="G149" s="28"/>
      <c r="H149" s="28"/>
      <c r="I149" s="28"/>
      <c r="J149" s="112"/>
      <c r="K149" s="112"/>
      <c r="L149" s="26"/>
      <c r="M149" s="112"/>
      <c r="N149" s="112"/>
      <c r="O149" s="112"/>
      <c r="P149" s="112"/>
      <c r="Q149" s="28"/>
      <c r="R149" s="269"/>
      <c r="S149" s="269"/>
      <c r="T149" s="23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28"/>
      <c r="B150" s="26"/>
      <c r="C150" s="28"/>
      <c r="D150" s="26"/>
      <c r="E150" s="28"/>
      <c r="F150" s="134"/>
      <c r="G150" s="28"/>
      <c r="H150" s="28"/>
      <c r="I150" s="28"/>
      <c r="J150" s="112"/>
      <c r="K150" s="112"/>
      <c r="L150" s="26"/>
      <c r="M150" s="112"/>
      <c r="N150" s="112"/>
      <c r="O150" s="112"/>
      <c r="P150" s="112"/>
      <c r="Q150" s="28"/>
      <c r="R150" s="269"/>
      <c r="S150" s="269"/>
      <c r="T150" s="23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32"/>
      <c r="B151" s="26"/>
      <c r="C151" s="28"/>
      <c r="D151" s="26"/>
      <c r="E151" s="28"/>
      <c r="F151" s="133"/>
      <c r="G151" s="28"/>
      <c r="H151" s="28"/>
      <c r="I151" s="28"/>
      <c r="J151" s="112"/>
      <c r="K151" s="112"/>
      <c r="L151" s="26"/>
      <c r="M151" s="112"/>
      <c r="N151" s="112"/>
      <c r="O151" s="112"/>
      <c r="P151" s="112"/>
      <c r="Q151" s="27"/>
      <c r="R151" s="269"/>
      <c r="S151" s="269"/>
      <c r="T151" s="23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34"/>
      <c r="B152" s="26"/>
      <c r="C152" s="28"/>
      <c r="D152" s="26"/>
      <c r="E152" s="28"/>
      <c r="F152" s="133"/>
      <c r="G152" s="28"/>
      <c r="H152" s="28"/>
      <c r="I152" s="28"/>
      <c r="J152" s="112"/>
      <c r="K152" s="112"/>
      <c r="L152" s="26"/>
      <c r="M152" s="112"/>
      <c r="N152" s="112"/>
      <c r="O152" s="112"/>
      <c r="P152" s="112"/>
      <c r="Q152" s="27"/>
      <c r="R152" s="269"/>
      <c r="S152" s="269"/>
      <c r="T152" s="23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35"/>
      <c r="B153" s="26"/>
      <c r="C153" s="28"/>
      <c r="D153" s="26"/>
      <c r="E153" s="28"/>
      <c r="F153" s="133"/>
      <c r="G153" s="28"/>
      <c r="H153" s="28"/>
      <c r="I153" s="28"/>
      <c r="J153" s="112"/>
      <c r="K153" s="112"/>
      <c r="L153" s="26"/>
      <c r="M153" s="112"/>
      <c r="N153" s="112"/>
      <c r="O153" s="112"/>
      <c r="P153" s="112"/>
      <c r="Q153" s="27"/>
      <c r="R153" s="269"/>
      <c r="S153" s="269"/>
      <c r="T153" s="23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35"/>
      <c r="B154" s="26"/>
      <c r="C154" s="28"/>
      <c r="D154" s="26"/>
      <c r="E154" s="28"/>
      <c r="F154" s="133"/>
      <c r="G154" s="28"/>
      <c r="H154" s="28"/>
      <c r="I154" s="28"/>
      <c r="J154" s="112"/>
      <c r="K154" s="112"/>
      <c r="L154" s="26"/>
      <c r="M154" s="112"/>
      <c r="N154" s="112"/>
      <c r="O154" s="112"/>
      <c r="P154" s="112"/>
      <c r="Q154" s="27"/>
      <c r="R154" s="32"/>
      <c r="S154" s="32"/>
      <c r="T154" s="23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35"/>
      <c r="B155" s="26"/>
      <c r="C155" s="28"/>
      <c r="D155" s="26"/>
      <c r="E155" s="28"/>
      <c r="F155" s="133"/>
      <c r="G155" s="28"/>
      <c r="H155" s="28"/>
      <c r="I155" s="28"/>
      <c r="J155" s="112"/>
      <c r="K155" s="112"/>
      <c r="L155" s="26"/>
      <c r="M155" s="112"/>
      <c r="N155" s="112"/>
      <c r="O155" s="112"/>
      <c r="P155" s="112"/>
      <c r="Q155" s="27"/>
      <c r="R155" s="32"/>
      <c r="S155" s="32"/>
      <c r="T155" s="23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33"/>
      <c r="B156" s="26"/>
      <c r="C156" s="28"/>
      <c r="D156" s="26"/>
      <c r="E156" s="28"/>
      <c r="F156" s="133"/>
      <c r="G156" s="28"/>
      <c r="H156" s="28"/>
      <c r="I156" s="28"/>
      <c r="J156" s="112"/>
      <c r="K156" s="112"/>
      <c r="L156" s="26"/>
      <c r="M156" s="112"/>
      <c r="N156" s="112"/>
      <c r="O156" s="112"/>
      <c r="P156" s="112"/>
      <c r="Q156" s="27"/>
      <c r="R156" s="32"/>
      <c r="S156" s="32"/>
      <c r="T156" s="23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33"/>
      <c r="B157" s="26"/>
      <c r="C157" s="28"/>
      <c r="D157" s="26"/>
      <c r="E157" s="28"/>
      <c r="F157" s="128"/>
      <c r="G157" s="28"/>
      <c r="H157" s="28"/>
      <c r="I157" s="28"/>
      <c r="J157" s="112"/>
      <c r="K157" s="112"/>
      <c r="L157" s="26"/>
      <c r="M157" s="112"/>
      <c r="N157" s="112"/>
      <c r="O157" s="112"/>
      <c r="P157" s="112"/>
      <c r="Q157" s="27"/>
      <c r="R157" s="55"/>
      <c r="S157" s="55"/>
      <c r="T157" s="23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33"/>
      <c r="B158" s="26"/>
      <c r="C158" s="28"/>
      <c r="D158" s="26"/>
      <c r="E158" s="28"/>
      <c r="F158" s="128"/>
      <c r="G158" s="28"/>
      <c r="H158" s="28"/>
      <c r="I158" s="28"/>
      <c r="J158" s="112"/>
      <c r="K158" s="112"/>
      <c r="L158" s="26"/>
      <c r="M158" s="112"/>
      <c r="N158" s="112"/>
      <c r="O158" s="112"/>
      <c r="P158" s="112"/>
      <c r="Q158" s="27"/>
      <c r="R158" s="26"/>
      <c r="S158" s="26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33"/>
      <c r="B159" s="26"/>
      <c r="C159" s="28"/>
      <c r="D159" s="26"/>
      <c r="E159" s="28"/>
      <c r="F159" s="128"/>
      <c r="G159" s="28"/>
      <c r="H159" s="28"/>
      <c r="I159" s="28"/>
      <c r="J159" s="112"/>
      <c r="K159" s="112"/>
      <c r="L159" s="26"/>
      <c r="M159" s="112"/>
      <c r="N159" s="112"/>
      <c r="O159" s="112"/>
      <c r="P159" s="112"/>
      <c r="Q159" s="27"/>
      <c r="R159" s="26"/>
      <c r="S159" s="26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33"/>
      <c r="B160" s="26"/>
      <c r="C160" s="28"/>
      <c r="D160" s="26"/>
      <c r="E160" s="28"/>
      <c r="F160" s="131"/>
      <c r="G160" s="28"/>
      <c r="H160" s="28"/>
      <c r="I160" s="28"/>
      <c r="J160" s="112"/>
      <c r="K160" s="112"/>
      <c r="L160" s="26"/>
      <c r="M160" s="112"/>
      <c r="N160" s="112"/>
      <c r="O160" s="112"/>
      <c r="P160" s="112"/>
      <c r="Q160" s="27"/>
      <c r="R160" s="26"/>
      <c r="S160" s="26"/>
      <c r="T160" s="2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33"/>
      <c r="B161" s="26"/>
      <c r="C161" s="28"/>
      <c r="D161" s="26"/>
      <c r="E161" s="28"/>
      <c r="F161" s="131"/>
      <c r="G161" s="28"/>
      <c r="H161" s="28"/>
      <c r="I161" s="28"/>
      <c r="J161" s="112"/>
      <c r="K161" s="112"/>
      <c r="L161" s="26"/>
      <c r="M161" s="112"/>
      <c r="N161" s="112"/>
      <c r="O161" s="112"/>
      <c r="P161" s="112"/>
      <c r="Q161" s="27"/>
      <c r="R161" s="26"/>
      <c r="S161" s="26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28"/>
      <c r="B162" s="26"/>
      <c r="C162" s="28"/>
      <c r="D162" s="26"/>
      <c r="E162" s="28"/>
      <c r="F162" s="128"/>
      <c r="G162" s="28"/>
      <c r="H162" s="28"/>
      <c r="I162" s="28"/>
      <c r="J162" s="112"/>
      <c r="K162" s="112"/>
      <c r="L162" s="26"/>
      <c r="M162" s="112"/>
      <c r="N162" s="112"/>
      <c r="O162" s="112"/>
      <c r="P162" s="112"/>
      <c r="Q162" s="27"/>
      <c r="R162" s="26"/>
      <c r="S162" s="26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28"/>
      <c r="B163" s="26"/>
      <c r="C163" s="28"/>
      <c r="D163" s="26"/>
      <c r="E163" s="28"/>
      <c r="F163" s="128"/>
      <c r="G163" s="28"/>
      <c r="H163" s="28"/>
      <c r="I163" s="28"/>
      <c r="J163" s="112"/>
      <c r="K163" s="112"/>
      <c r="L163" s="26"/>
      <c r="M163" s="112"/>
      <c r="N163" s="112"/>
      <c r="O163" s="112"/>
      <c r="P163" s="112"/>
      <c r="Q163" s="27"/>
      <c r="R163" s="26"/>
      <c r="S163" s="26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28"/>
      <c r="B164" s="26"/>
      <c r="C164" s="28"/>
      <c r="D164" s="26"/>
      <c r="E164" s="28"/>
      <c r="F164" s="128"/>
      <c r="G164" s="28"/>
      <c r="H164" s="28"/>
      <c r="I164" s="28"/>
      <c r="J164" s="112"/>
      <c r="K164" s="112"/>
      <c r="L164" s="26"/>
      <c r="M164" s="112"/>
      <c r="N164" s="112"/>
      <c r="O164" s="112"/>
      <c r="P164" s="112"/>
      <c r="Q164" s="27"/>
      <c r="R164" s="26"/>
      <c r="S164" s="26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s="32" customFormat="1">
      <c r="A165" s="36"/>
      <c r="B165" s="26"/>
      <c r="C165" s="28"/>
      <c r="D165" s="26"/>
      <c r="E165" s="28"/>
      <c r="F165" s="128"/>
      <c r="G165" s="28"/>
      <c r="H165" s="28"/>
      <c r="I165" s="28"/>
      <c r="J165" s="112"/>
      <c r="K165" s="112"/>
      <c r="L165" s="26"/>
      <c r="M165" s="112"/>
      <c r="N165" s="112"/>
      <c r="O165" s="112"/>
      <c r="P165" s="112"/>
      <c r="Q165" s="26"/>
      <c r="R165" s="26"/>
      <c r="S165" s="26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</row>
    <row r="166" spans="1:40">
      <c r="A166" s="36"/>
      <c r="B166" s="26"/>
      <c r="C166" s="28"/>
      <c r="D166" s="26"/>
      <c r="E166" s="28"/>
      <c r="F166" s="128"/>
      <c r="G166" s="28"/>
      <c r="H166" s="28"/>
      <c r="I166" s="28"/>
      <c r="J166" s="112"/>
      <c r="K166" s="112"/>
      <c r="L166" s="26"/>
      <c r="M166" s="112"/>
      <c r="N166" s="112"/>
      <c r="O166" s="112"/>
      <c r="P166" s="112"/>
      <c r="Q166" s="26"/>
      <c r="R166" s="26"/>
      <c r="S166" s="26"/>
      <c r="T166" s="32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28"/>
      <c r="B167" s="26"/>
      <c r="C167" s="28"/>
      <c r="D167" s="26"/>
      <c r="E167" s="28"/>
      <c r="F167" s="128"/>
      <c r="G167" s="28"/>
      <c r="H167" s="28"/>
      <c r="I167" s="28"/>
      <c r="J167" s="112"/>
      <c r="K167" s="112"/>
      <c r="L167" s="26"/>
      <c r="M167" s="112"/>
      <c r="N167" s="112"/>
      <c r="O167" s="112"/>
      <c r="P167" s="112"/>
      <c r="Q167" s="26"/>
      <c r="R167" s="26"/>
      <c r="S167" s="26"/>
      <c r="T167" s="32"/>
      <c r="U167" s="23"/>
      <c r="V167" s="33"/>
      <c r="W167" s="28"/>
      <c r="X167" s="28"/>
      <c r="Y167" s="28"/>
      <c r="Z167" s="28"/>
      <c r="AA167" s="28"/>
      <c r="AB167" s="28"/>
      <c r="AC167" s="28"/>
      <c r="AD167" s="28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28"/>
      <c r="B168" s="26"/>
      <c r="C168" s="28"/>
      <c r="D168" s="26"/>
      <c r="E168" s="28"/>
      <c r="F168" s="128"/>
      <c r="G168" s="28"/>
      <c r="H168" s="28"/>
      <c r="I168" s="28"/>
      <c r="J168" s="112"/>
      <c r="K168" s="112"/>
      <c r="L168" s="26"/>
      <c r="M168" s="112"/>
      <c r="N168" s="112"/>
      <c r="O168" s="128"/>
      <c r="P168" s="128"/>
      <c r="Q168" s="26"/>
      <c r="R168" s="23"/>
      <c r="S168" s="23"/>
      <c r="T168" s="32"/>
      <c r="U168" s="23"/>
      <c r="V168" s="36"/>
      <c r="W168" s="28"/>
      <c r="X168" s="28"/>
      <c r="Y168" s="28"/>
      <c r="Z168" s="28"/>
      <c r="AA168" s="28"/>
      <c r="AB168" s="28"/>
      <c r="AC168" s="28"/>
      <c r="AD168" s="28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28"/>
      <c r="B169" s="26"/>
      <c r="C169" s="28"/>
      <c r="D169" s="26"/>
      <c r="E169" s="28"/>
      <c r="F169" s="128"/>
      <c r="G169" s="28"/>
      <c r="H169" s="28"/>
      <c r="I169" s="28"/>
      <c r="J169" s="112"/>
      <c r="K169" s="112"/>
      <c r="L169" s="26"/>
      <c r="M169" s="112"/>
      <c r="N169" s="112"/>
      <c r="O169" s="128"/>
      <c r="P169" s="128"/>
      <c r="Q169" s="26"/>
      <c r="R169" s="23"/>
      <c r="S169" s="23"/>
      <c r="T169" s="32"/>
      <c r="U169" s="23"/>
      <c r="V169" s="36"/>
      <c r="W169" s="28"/>
      <c r="X169" s="28"/>
      <c r="Y169" s="28"/>
      <c r="Z169" s="28"/>
      <c r="AA169" s="28"/>
      <c r="AB169" s="28"/>
      <c r="AC169" s="28"/>
      <c r="AD169" s="28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28"/>
      <c r="B170" s="26"/>
      <c r="C170" s="28"/>
      <c r="D170" s="26"/>
      <c r="E170" s="28"/>
      <c r="F170" s="128"/>
      <c r="G170" s="28"/>
      <c r="H170" s="28"/>
      <c r="I170" s="28"/>
      <c r="J170" s="112"/>
      <c r="K170" s="112"/>
      <c r="L170" s="26"/>
      <c r="M170" s="112"/>
      <c r="N170" s="112"/>
      <c r="O170" s="128"/>
      <c r="P170" s="128"/>
      <c r="Q170" s="26"/>
      <c r="R170" s="23"/>
      <c r="S170" s="23"/>
      <c r="T170" s="32"/>
      <c r="U170" s="23"/>
      <c r="V170" s="33"/>
      <c r="W170" s="28"/>
      <c r="X170" s="28"/>
      <c r="Y170" s="28"/>
      <c r="Z170" s="28"/>
      <c r="AA170" s="28"/>
      <c r="AB170" s="28"/>
      <c r="AC170" s="28"/>
      <c r="AD170" s="28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28"/>
      <c r="B171" s="26"/>
      <c r="C171" s="28"/>
      <c r="D171" s="26"/>
      <c r="E171" s="28"/>
      <c r="F171" s="128"/>
      <c r="G171" s="28"/>
      <c r="H171" s="28"/>
      <c r="I171" s="28"/>
      <c r="J171" s="112"/>
      <c r="K171" s="112"/>
      <c r="L171" s="26"/>
      <c r="M171" s="112"/>
      <c r="N171" s="112"/>
      <c r="O171" s="128"/>
      <c r="P171" s="128"/>
      <c r="Q171" s="26"/>
      <c r="R171" s="23"/>
      <c r="S171" s="23"/>
      <c r="T171" s="32"/>
      <c r="U171" s="23"/>
      <c r="V171" s="33"/>
      <c r="W171" s="28"/>
      <c r="X171" s="28"/>
      <c r="Y171" s="28"/>
      <c r="Z171" s="28"/>
      <c r="AA171" s="28"/>
      <c r="AB171" s="28"/>
      <c r="AC171" s="28"/>
      <c r="AD171" s="28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28"/>
      <c r="B172" s="26"/>
      <c r="C172" s="28"/>
      <c r="D172" s="26"/>
      <c r="E172" s="28"/>
      <c r="F172" s="128"/>
      <c r="G172" s="28"/>
      <c r="H172" s="28"/>
      <c r="I172" s="28"/>
      <c r="J172" s="112"/>
      <c r="K172" s="112"/>
      <c r="L172" s="26"/>
      <c r="M172" s="112"/>
      <c r="N172" s="112"/>
      <c r="O172" s="128"/>
      <c r="P172" s="128"/>
      <c r="Q172" s="26"/>
      <c r="R172" s="23"/>
      <c r="S172" s="23"/>
      <c r="T172" s="32"/>
      <c r="U172" s="23"/>
      <c r="V172" s="33"/>
      <c r="W172" s="28"/>
      <c r="X172" s="28"/>
      <c r="Y172" s="28"/>
      <c r="Z172" s="28"/>
      <c r="AA172" s="28"/>
      <c r="AB172" s="28"/>
      <c r="AC172" s="28"/>
      <c r="AD172" s="28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28"/>
      <c r="B173" s="26"/>
      <c r="C173" s="28"/>
      <c r="D173" s="26"/>
      <c r="E173" s="28"/>
      <c r="F173" s="128"/>
      <c r="G173" s="28"/>
      <c r="H173" s="28"/>
      <c r="I173" s="28"/>
      <c r="J173" s="112"/>
      <c r="K173" s="112"/>
      <c r="L173" s="26"/>
      <c r="M173" s="112"/>
      <c r="N173" s="112"/>
      <c r="O173" s="128"/>
      <c r="P173" s="128"/>
      <c r="Q173" s="26"/>
      <c r="R173" s="23"/>
      <c r="S173" s="23"/>
      <c r="T173" s="32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28"/>
      <c r="B174" s="26"/>
      <c r="C174" s="28"/>
      <c r="D174" s="26"/>
      <c r="E174" s="28"/>
      <c r="F174" s="128"/>
      <c r="G174" s="28"/>
      <c r="H174" s="28"/>
      <c r="I174" s="28"/>
      <c r="J174" s="112"/>
      <c r="K174" s="112"/>
      <c r="L174" s="26"/>
      <c r="M174" s="112"/>
      <c r="N174" s="112"/>
      <c r="O174" s="128"/>
      <c r="P174" s="128"/>
      <c r="Q174" s="26"/>
      <c r="R174" s="23"/>
      <c r="S174" s="23"/>
      <c r="T174" s="32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28"/>
      <c r="B175" s="26"/>
      <c r="C175" s="28"/>
      <c r="D175" s="26"/>
      <c r="E175" s="28"/>
      <c r="F175" s="128"/>
      <c r="G175" s="28"/>
      <c r="H175" s="28"/>
      <c r="I175" s="28"/>
      <c r="J175" s="112"/>
      <c r="K175" s="112"/>
      <c r="L175" s="26"/>
      <c r="M175" s="112"/>
      <c r="N175" s="112"/>
      <c r="O175" s="128"/>
      <c r="P175" s="128"/>
      <c r="Q175" s="26"/>
      <c r="R175" s="23"/>
      <c r="S175" s="23"/>
      <c r="T175" s="32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28"/>
      <c r="B176" s="26"/>
      <c r="C176" s="28"/>
      <c r="D176" s="26"/>
      <c r="E176" s="28"/>
      <c r="F176" s="128"/>
      <c r="G176" s="28"/>
      <c r="H176" s="28"/>
      <c r="I176" s="28"/>
      <c r="J176" s="112"/>
      <c r="K176" s="112"/>
      <c r="L176" s="26"/>
      <c r="M176" s="112"/>
      <c r="N176" s="112"/>
      <c r="O176" s="128"/>
      <c r="P176" s="128"/>
      <c r="Q176" s="26"/>
      <c r="R176" s="23"/>
      <c r="S176" s="23"/>
      <c r="T176" s="32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28"/>
      <c r="B177" s="26"/>
      <c r="C177" s="28"/>
      <c r="D177" s="26"/>
      <c r="E177" s="28"/>
      <c r="F177" s="128"/>
      <c r="G177" s="28"/>
      <c r="H177" s="28"/>
      <c r="I177" s="28"/>
      <c r="J177" s="112"/>
      <c r="K177" s="112"/>
      <c r="L177" s="26"/>
      <c r="M177" s="112"/>
      <c r="N177" s="112"/>
      <c r="O177" s="128"/>
      <c r="P177" s="128"/>
      <c r="Q177" s="26"/>
      <c r="R177" s="23"/>
      <c r="S177" s="23"/>
      <c r="T177" s="32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28"/>
      <c r="B178" s="26"/>
      <c r="C178" s="28"/>
      <c r="D178" s="26"/>
      <c r="E178" s="28"/>
      <c r="F178" s="128"/>
      <c r="G178" s="28"/>
      <c r="H178" s="28"/>
      <c r="I178" s="28"/>
      <c r="J178" s="112"/>
      <c r="K178" s="112"/>
      <c r="L178" s="26"/>
      <c r="M178" s="112"/>
      <c r="N178" s="112"/>
      <c r="O178" s="128"/>
      <c r="P178" s="128"/>
      <c r="Q178" s="26"/>
      <c r="R178" s="23"/>
      <c r="S178" s="23"/>
      <c r="T178" s="32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28"/>
      <c r="B179" s="26"/>
      <c r="C179" s="28"/>
      <c r="D179" s="26"/>
      <c r="E179" s="28"/>
      <c r="F179" s="128"/>
      <c r="G179" s="28"/>
      <c r="H179" s="28"/>
      <c r="I179" s="28"/>
      <c r="J179" s="112"/>
      <c r="K179" s="112"/>
      <c r="L179" s="26"/>
      <c r="M179" s="112"/>
      <c r="N179" s="112"/>
      <c r="O179" s="128"/>
      <c r="P179" s="128"/>
      <c r="Q179" s="26"/>
      <c r="R179" s="23"/>
      <c r="S179" s="23"/>
      <c r="T179" s="32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28"/>
      <c r="B180" s="26"/>
      <c r="C180" s="28"/>
      <c r="D180" s="26"/>
      <c r="E180" s="28"/>
      <c r="F180" s="128"/>
      <c r="G180" s="28"/>
      <c r="H180" s="28"/>
      <c r="I180" s="28"/>
      <c r="J180" s="112"/>
      <c r="K180" s="112"/>
      <c r="L180" s="26"/>
      <c r="M180" s="112"/>
      <c r="N180" s="112"/>
      <c r="O180" s="128"/>
      <c r="P180" s="128"/>
      <c r="Q180" s="26"/>
      <c r="R180" s="23"/>
      <c r="S180" s="23"/>
      <c r="T180" s="32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28"/>
      <c r="B181" s="26"/>
      <c r="C181" s="28"/>
      <c r="D181" s="26"/>
      <c r="E181" s="28"/>
      <c r="F181" s="128"/>
      <c r="G181" s="28"/>
      <c r="H181" s="28"/>
      <c r="I181" s="28"/>
      <c r="J181" s="112"/>
      <c r="K181" s="112"/>
      <c r="L181" s="26"/>
      <c r="M181" s="112"/>
      <c r="N181" s="112"/>
      <c r="O181" s="128"/>
      <c r="P181" s="128"/>
      <c r="Q181" s="26"/>
      <c r="R181" s="23"/>
      <c r="S181" s="23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28"/>
      <c r="B182" s="26"/>
      <c r="C182" s="28"/>
      <c r="D182" s="26"/>
      <c r="E182" s="28"/>
      <c r="F182" s="128"/>
      <c r="G182" s="28"/>
      <c r="H182" s="28"/>
      <c r="I182" s="28"/>
      <c r="J182" s="112"/>
      <c r="K182" s="112"/>
      <c r="L182" s="26"/>
      <c r="M182" s="112"/>
      <c r="N182" s="112"/>
      <c r="O182" s="128"/>
      <c r="P182" s="128"/>
      <c r="Q182" s="26"/>
      <c r="R182" s="23"/>
      <c r="S182" s="23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28"/>
      <c r="B183" s="26"/>
      <c r="C183" s="28"/>
      <c r="D183" s="26"/>
      <c r="E183" s="28"/>
      <c r="F183" s="128"/>
      <c r="G183" s="28"/>
      <c r="H183" s="28"/>
      <c r="I183" s="28"/>
      <c r="J183" s="112"/>
      <c r="K183" s="112"/>
      <c r="L183" s="26"/>
      <c r="M183" s="112"/>
      <c r="N183" s="112"/>
      <c r="O183" s="128"/>
      <c r="P183" s="128"/>
      <c r="Q183" s="26"/>
      <c r="R183" s="23"/>
      <c r="S183" s="23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28"/>
      <c r="B184" s="26"/>
      <c r="C184" s="28"/>
      <c r="D184" s="26"/>
      <c r="E184" s="28"/>
      <c r="F184" s="128"/>
      <c r="G184" s="28"/>
      <c r="I184" s="28"/>
      <c r="J184" s="112"/>
      <c r="K184" s="112"/>
      <c r="L184" s="26"/>
      <c r="M184" s="112"/>
      <c r="N184" s="112"/>
      <c r="O184" s="128"/>
      <c r="P184" s="128"/>
      <c r="Q184" s="26"/>
      <c r="R184" s="23"/>
      <c r="S184" s="23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28"/>
      <c r="B185" s="26"/>
      <c r="C185" s="28"/>
      <c r="D185" s="26"/>
      <c r="E185" s="28"/>
      <c r="F185" s="128"/>
      <c r="G185" s="28"/>
      <c r="I185" s="28"/>
      <c r="J185" s="112"/>
      <c r="K185" s="112"/>
      <c r="L185" s="26"/>
      <c r="M185" s="112"/>
      <c r="N185" s="112"/>
      <c r="O185" s="128"/>
      <c r="P185" s="128"/>
      <c r="Q185" s="26"/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s="32" customFormat="1">
      <c r="A186" s="28"/>
      <c r="B186" s="26"/>
      <c r="C186" s="28"/>
      <c r="D186" s="26"/>
      <c r="E186" s="28"/>
      <c r="F186" s="128"/>
      <c r="G186" s="28"/>
      <c r="H186" s="2"/>
      <c r="I186" s="28"/>
      <c r="J186" s="112"/>
      <c r="K186" s="112"/>
      <c r="L186" s="26"/>
      <c r="M186" s="112"/>
      <c r="N186" s="112"/>
      <c r="O186" s="128"/>
      <c r="P186" s="128"/>
      <c r="Q186" s="26"/>
      <c r="R186" s="23"/>
      <c r="S186" s="23"/>
    </row>
    <row r="187" spans="1:40" s="32" customFormat="1">
      <c r="A187" s="28"/>
      <c r="B187" s="26"/>
      <c r="C187" s="28"/>
      <c r="D187" s="26"/>
      <c r="E187" s="28"/>
      <c r="F187" s="128"/>
      <c r="G187" s="28"/>
      <c r="H187" s="2"/>
      <c r="I187" s="28"/>
      <c r="J187" s="112"/>
      <c r="K187" s="112"/>
      <c r="L187" s="26"/>
      <c r="M187" s="112"/>
      <c r="N187" s="112"/>
      <c r="O187" s="128"/>
      <c r="P187" s="128"/>
      <c r="Q187" s="26"/>
      <c r="R187" s="23"/>
      <c r="S187" s="23"/>
    </row>
    <row r="188" spans="1:40" s="32" customFormat="1">
      <c r="A188" s="28"/>
      <c r="B188" s="26"/>
      <c r="C188" s="28"/>
      <c r="D188" s="26"/>
      <c r="E188" s="28"/>
      <c r="F188" s="128"/>
      <c r="G188" s="28"/>
      <c r="H188" s="2"/>
      <c r="I188" s="28"/>
      <c r="J188" s="112"/>
      <c r="K188" s="112"/>
      <c r="L188" s="26"/>
      <c r="M188" s="112"/>
      <c r="N188" s="89"/>
      <c r="O188" s="128"/>
      <c r="P188" s="128"/>
      <c r="Q188" s="26"/>
      <c r="R188" s="23"/>
      <c r="S188" s="23"/>
      <c r="T188" s="55"/>
    </row>
    <row r="189" spans="1:40" s="32" customFormat="1">
      <c r="A189" s="28"/>
      <c r="B189" s="26"/>
      <c r="C189" s="28"/>
      <c r="D189" s="26"/>
      <c r="E189" s="28"/>
      <c r="F189" s="123"/>
      <c r="G189" s="28"/>
      <c r="H189" s="2"/>
      <c r="I189" s="28"/>
      <c r="J189" s="112"/>
      <c r="K189" s="112"/>
      <c r="L189" s="26"/>
      <c r="M189" s="112"/>
      <c r="N189" s="89"/>
      <c r="O189" s="128"/>
      <c r="P189" s="128"/>
      <c r="Q189" s="26"/>
      <c r="R189" s="23"/>
      <c r="S189" s="23"/>
      <c r="T189" s="26"/>
    </row>
    <row r="190" spans="1:40" s="32" customFormat="1">
      <c r="A190" s="28"/>
      <c r="B190" s="26"/>
      <c r="C190" s="28"/>
      <c r="D190" s="26"/>
      <c r="E190" s="28"/>
      <c r="F190" s="123"/>
      <c r="G190" s="28"/>
      <c r="H190" s="2"/>
      <c r="I190" s="28"/>
      <c r="J190" s="112"/>
      <c r="K190" s="112"/>
      <c r="L190" s="26"/>
      <c r="M190" s="112"/>
      <c r="N190" s="89"/>
      <c r="O190" s="128"/>
      <c r="P190" s="128"/>
      <c r="Q190" s="26"/>
      <c r="R190" s="23"/>
      <c r="S190" s="23"/>
      <c r="T190" s="26"/>
    </row>
    <row r="191" spans="1:40" s="32" customFormat="1">
      <c r="A191" s="28"/>
      <c r="B191" s="26"/>
      <c r="C191" s="28"/>
      <c r="D191" s="26"/>
      <c r="E191" s="28"/>
      <c r="F191" s="123"/>
      <c r="G191" s="28"/>
      <c r="H191" s="2"/>
      <c r="I191" s="28"/>
      <c r="J191" s="112"/>
      <c r="K191" s="112"/>
      <c r="L191" s="26"/>
      <c r="M191" s="112"/>
      <c r="N191" s="89"/>
      <c r="O191" s="128"/>
      <c r="P191" s="128"/>
      <c r="Q191" s="26"/>
      <c r="R191" s="23"/>
      <c r="S191" s="23"/>
      <c r="T191" s="26"/>
    </row>
    <row r="192" spans="1:40" s="32" customFormat="1">
      <c r="A192" s="28"/>
      <c r="B192" s="26"/>
      <c r="C192" s="28"/>
      <c r="D192" s="26"/>
      <c r="E192" s="28"/>
      <c r="F192" s="123"/>
      <c r="G192" s="28"/>
      <c r="H192" s="2"/>
      <c r="I192" s="28"/>
      <c r="J192" s="112"/>
      <c r="K192" s="112"/>
      <c r="L192" s="26"/>
      <c r="M192" s="112"/>
      <c r="N192" s="89"/>
      <c r="O192" s="128"/>
      <c r="P192" s="128"/>
      <c r="Q192" s="3"/>
      <c r="R192" s="23"/>
      <c r="S192" s="23"/>
      <c r="T192" s="26"/>
    </row>
    <row r="193" spans="1:40" s="32" customFormat="1">
      <c r="A193" s="2"/>
      <c r="B193" s="26"/>
      <c r="C193" s="28"/>
      <c r="D193" s="26"/>
      <c r="E193" s="28"/>
      <c r="F193" s="123"/>
      <c r="G193" s="28"/>
      <c r="H193" s="2"/>
      <c r="I193" s="28"/>
      <c r="J193" s="112"/>
      <c r="K193" s="112"/>
      <c r="L193" s="26"/>
      <c r="M193" s="112"/>
      <c r="N193" s="89"/>
      <c r="O193" s="128"/>
      <c r="P193" s="128"/>
      <c r="Q193" s="3"/>
      <c r="R193" s="23"/>
      <c r="S193" s="23"/>
      <c r="T193" s="26"/>
    </row>
    <row r="194" spans="1:40" s="32" customFormat="1">
      <c r="A194" s="2"/>
      <c r="B194" s="26"/>
      <c r="C194" s="28"/>
      <c r="D194" s="26"/>
      <c r="E194" s="28"/>
      <c r="F194" s="123"/>
      <c r="G194" s="28"/>
      <c r="H194" s="2"/>
      <c r="I194" s="28"/>
      <c r="J194" s="112"/>
      <c r="K194" s="112"/>
      <c r="L194" s="26"/>
      <c r="M194" s="112"/>
      <c r="N194" s="89"/>
      <c r="O194" s="123"/>
      <c r="P194" s="123"/>
      <c r="Q194" s="3"/>
      <c r="R194" s="23"/>
      <c r="S194" s="23"/>
      <c r="T194" s="26"/>
    </row>
    <row r="195" spans="1:40" s="32" customFormat="1">
      <c r="A195" s="2"/>
      <c r="B195" s="26"/>
      <c r="C195" s="28"/>
      <c r="D195" s="26"/>
      <c r="E195" s="28"/>
      <c r="F195" s="123"/>
      <c r="G195" s="2"/>
      <c r="H195" s="2"/>
      <c r="I195" s="28"/>
      <c r="J195" s="112"/>
      <c r="K195" s="112"/>
      <c r="L195" s="26"/>
      <c r="M195" s="112"/>
      <c r="N195" s="89"/>
      <c r="O195" s="123"/>
      <c r="P195" s="123"/>
      <c r="Q195" s="3"/>
      <c r="R195" s="23"/>
      <c r="S195" s="23"/>
      <c r="T195" s="26"/>
    </row>
    <row r="196" spans="1:40" s="32" customFormat="1">
      <c r="A196" s="2"/>
      <c r="B196" s="26"/>
      <c r="C196" s="28"/>
      <c r="D196" s="26"/>
      <c r="E196" s="28"/>
      <c r="F196" s="123"/>
      <c r="G196" s="2"/>
      <c r="H196" s="2"/>
      <c r="I196" s="28"/>
      <c r="J196" s="112"/>
      <c r="K196" s="112"/>
      <c r="L196" s="26"/>
      <c r="M196" s="112"/>
      <c r="N196" s="89"/>
      <c r="O196" s="123"/>
      <c r="P196" s="123"/>
      <c r="Q196" s="3"/>
      <c r="R196" s="23"/>
      <c r="S196" s="23"/>
      <c r="T196" s="26"/>
    </row>
    <row r="197" spans="1:40" s="32" customFormat="1">
      <c r="A197" s="2"/>
      <c r="B197" s="26"/>
      <c r="C197" s="28"/>
      <c r="D197" s="26"/>
      <c r="E197" s="28"/>
      <c r="F197" s="123"/>
      <c r="G197" s="2"/>
      <c r="H197" s="2"/>
      <c r="I197" s="28"/>
      <c r="J197" s="112"/>
      <c r="K197" s="112"/>
      <c r="L197" s="26"/>
      <c r="M197" s="112"/>
      <c r="N197" s="89"/>
      <c r="O197" s="123"/>
      <c r="P197" s="123"/>
      <c r="Q197" s="3"/>
      <c r="R197" s="23"/>
      <c r="S197" s="23"/>
      <c r="T197" s="26"/>
    </row>
    <row r="198" spans="1:40" s="1" customFormat="1">
      <c r="A198" s="2"/>
      <c r="B198" s="3"/>
      <c r="C198" s="2"/>
      <c r="D198" s="3"/>
      <c r="E198" s="2"/>
      <c r="F198" s="123"/>
      <c r="G198" s="2"/>
      <c r="H198" s="2"/>
      <c r="I198" s="2"/>
      <c r="J198" s="89"/>
      <c r="K198" s="89"/>
      <c r="L198" s="3"/>
      <c r="M198" s="89"/>
      <c r="N198" s="89"/>
      <c r="O198" s="123"/>
      <c r="P198" s="123"/>
      <c r="Q198" s="3"/>
      <c r="R198" s="4"/>
      <c r="S198" s="4"/>
      <c r="T198" s="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</row>
    <row r="199" spans="1:40" s="1" customFormat="1">
      <c r="A199" s="2"/>
      <c r="B199" s="3"/>
      <c r="C199" s="2"/>
      <c r="D199" s="3"/>
      <c r="E199" s="2"/>
      <c r="F199" s="123"/>
      <c r="G199" s="2"/>
      <c r="H199" s="2"/>
      <c r="I199" s="2"/>
      <c r="J199" s="89"/>
      <c r="K199" s="89"/>
      <c r="L199" s="3"/>
      <c r="M199" s="89"/>
      <c r="N199" s="89"/>
      <c r="O199" s="123"/>
      <c r="P199" s="123"/>
      <c r="Q199" s="3"/>
      <c r="R199" s="4"/>
      <c r="S199" s="4"/>
      <c r="T199" s="2"/>
      <c r="U199" s="31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</row>
    <row r="200" spans="1:40" s="1" customFormat="1">
      <c r="A200" s="2"/>
      <c r="B200" s="3"/>
      <c r="C200" s="2"/>
      <c r="D200" s="3"/>
      <c r="E200" s="2"/>
      <c r="F200" s="123"/>
      <c r="G200" s="2"/>
      <c r="H200" s="2"/>
      <c r="I200" s="2"/>
      <c r="J200" s="89"/>
      <c r="K200" s="89"/>
      <c r="L200" s="3"/>
      <c r="M200" s="89"/>
      <c r="N200" s="89"/>
      <c r="O200" s="123"/>
      <c r="P200" s="123"/>
      <c r="Q200" s="3"/>
      <c r="R200" s="4"/>
      <c r="S200" s="4"/>
      <c r="T200" s="2"/>
      <c r="U200" s="31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</row>
    <row r="201" spans="1:40" s="1" customFormat="1">
      <c r="A201" s="2"/>
      <c r="B201" s="3"/>
      <c r="C201" s="2"/>
      <c r="D201" s="3"/>
      <c r="E201" s="2"/>
      <c r="F201" s="123"/>
      <c r="G201" s="2"/>
      <c r="H201" s="2"/>
      <c r="I201" s="2"/>
      <c r="J201" s="89"/>
      <c r="K201" s="89"/>
      <c r="L201" s="3"/>
      <c r="M201" s="89"/>
      <c r="N201" s="89"/>
      <c r="O201" s="123"/>
      <c r="P201" s="123"/>
      <c r="Q201" s="3"/>
      <c r="R201" s="4"/>
      <c r="S201" s="4"/>
      <c r="T201" s="2"/>
      <c r="U201" s="31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</row>
    <row r="202" spans="1:40" s="1" customFormat="1">
      <c r="A202" s="2"/>
      <c r="B202" s="3"/>
      <c r="C202" s="2"/>
      <c r="D202" s="3"/>
      <c r="E202" s="2"/>
      <c r="F202" s="123"/>
      <c r="G202" s="2"/>
      <c r="H202" s="2"/>
      <c r="I202" s="2"/>
      <c r="J202" s="89"/>
      <c r="K202" s="89"/>
      <c r="L202" s="3"/>
      <c r="M202" s="89"/>
      <c r="N202" s="89"/>
      <c r="O202" s="123"/>
      <c r="P202" s="123"/>
      <c r="Q202" s="3"/>
      <c r="R202" s="3"/>
      <c r="S202" s="3"/>
      <c r="T202" s="22"/>
      <c r="U202" s="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</row>
    <row r="203" spans="1:40" s="1" customFormat="1">
      <c r="A203" s="2"/>
      <c r="B203" s="3"/>
      <c r="C203" s="2"/>
      <c r="D203" s="3"/>
      <c r="E203" s="2"/>
      <c r="F203" s="123"/>
      <c r="G203" s="2"/>
      <c r="H203" s="2"/>
      <c r="I203" s="2"/>
      <c r="J203" s="89"/>
      <c r="K203" s="89"/>
      <c r="L203" s="3"/>
      <c r="M203" s="89"/>
      <c r="N203" s="89"/>
      <c r="O203" s="123"/>
      <c r="P203" s="123"/>
      <c r="Q203" s="3"/>
      <c r="R203" s="3"/>
      <c r="S203" s="3"/>
      <c r="T203" s="2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</row>
    <row r="204" spans="1:40" s="1" customFormat="1">
      <c r="A204" s="2"/>
      <c r="B204" s="3"/>
      <c r="C204" s="2"/>
      <c r="D204" s="3"/>
      <c r="E204" s="2"/>
      <c r="F204" s="123"/>
      <c r="G204" s="2"/>
      <c r="H204" s="2"/>
      <c r="I204" s="2"/>
      <c r="J204" s="89"/>
      <c r="K204" s="89"/>
      <c r="L204" s="3"/>
      <c r="M204" s="89"/>
      <c r="N204" s="89"/>
      <c r="O204" s="123"/>
      <c r="P204" s="123"/>
      <c r="Q204" s="3"/>
      <c r="R204" s="3"/>
      <c r="S204" s="3"/>
      <c r="T204" s="2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</row>
    <row r="205" spans="1:40" s="1" customFormat="1">
      <c r="A205" s="2"/>
      <c r="B205" s="3"/>
      <c r="C205" s="2"/>
      <c r="D205" s="3"/>
      <c r="E205" s="2"/>
      <c r="F205" s="123"/>
      <c r="G205" s="2"/>
      <c r="H205" s="2"/>
      <c r="I205" s="2"/>
      <c r="J205" s="89"/>
      <c r="K205" s="89"/>
      <c r="L205" s="3"/>
      <c r="M205" s="89"/>
      <c r="N205" s="89"/>
      <c r="O205" s="123"/>
      <c r="P205" s="123"/>
      <c r="Q205" s="3"/>
      <c r="R205" s="3"/>
      <c r="S205" s="3"/>
      <c r="T205" s="2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</row>
    <row r="206" spans="1:40" s="1" customFormat="1">
      <c r="A206" s="2"/>
      <c r="B206" s="3"/>
      <c r="C206" s="2"/>
      <c r="D206" s="3"/>
      <c r="E206" s="2"/>
      <c r="F206" s="123"/>
      <c r="G206" s="2"/>
      <c r="H206" s="2"/>
      <c r="I206" s="2"/>
      <c r="J206" s="89"/>
      <c r="K206" s="89"/>
      <c r="L206" s="3"/>
      <c r="M206" s="89"/>
      <c r="N206" s="89"/>
      <c r="O206" s="123"/>
      <c r="P206" s="123"/>
      <c r="Q206" s="3"/>
      <c r="R206" s="3"/>
      <c r="S206" s="3"/>
      <c r="T206" s="2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</row>
    <row r="207" spans="1:40">
      <c r="AE207" s="32"/>
      <c r="AF207" s="32"/>
      <c r="AG207" s="32"/>
    </row>
    <row r="211" spans="2:40">
      <c r="B211" s="2"/>
      <c r="D211" s="2"/>
      <c r="F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2:40">
      <c r="B212" s="2"/>
      <c r="D212" s="2"/>
      <c r="F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2:40">
      <c r="B213" s="2"/>
      <c r="D213" s="2"/>
      <c r="F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2:40">
      <c r="B214" s="2"/>
      <c r="D214" s="2"/>
      <c r="F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2:40">
      <c r="B215" s="2"/>
      <c r="D215" s="2"/>
      <c r="F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2:40">
      <c r="B216" s="2"/>
      <c r="D216" s="2"/>
      <c r="F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2:40">
      <c r="B217" s="2"/>
      <c r="D217" s="2"/>
      <c r="F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2:40">
      <c r="B218" s="2"/>
      <c r="D218" s="2"/>
      <c r="F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2:40">
      <c r="B219" s="2"/>
      <c r="D219" s="2"/>
      <c r="F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2:40">
      <c r="B220" s="2"/>
      <c r="D220" s="2"/>
      <c r="F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2:40">
      <c r="B221" s="2"/>
      <c r="D221" s="2"/>
      <c r="F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2:40">
      <c r="B222" s="2"/>
      <c r="D222" s="2"/>
      <c r="F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2:40">
      <c r="B223" s="2"/>
      <c r="D223" s="2"/>
      <c r="F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2:40">
      <c r="B224" s="2"/>
      <c r="D224" s="2"/>
      <c r="F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2:40">
      <c r="B225" s="2"/>
      <c r="D225" s="2"/>
      <c r="F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2:40">
      <c r="B226" s="2"/>
      <c r="D226" s="2"/>
      <c r="F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2:40">
      <c r="B227" s="2"/>
      <c r="D227" s="2"/>
      <c r="F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2:40">
      <c r="B228" s="2"/>
      <c r="D228" s="2"/>
      <c r="F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2:40">
      <c r="B229" s="2"/>
      <c r="D229" s="2"/>
      <c r="F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2:40">
      <c r="B230" s="2"/>
      <c r="D230" s="2"/>
      <c r="F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2:40">
      <c r="B231" s="2"/>
      <c r="D231" s="2"/>
      <c r="F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2:40">
      <c r="B232" s="2"/>
      <c r="D232" s="2"/>
      <c r="F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2:40">
      <c r="B233" s="2"/>
      <c r="D233" s="2"/>
      <c r="F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2:40">
      <c r="B234" s="2"/>
      <c r="D234" s="2"/>
      <c r="F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2:40">
      <c r="B235" s="2"/>
      <c r="D235" s="2"/>
      <c r="F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2:40">
      <c r="B236" s="2"/>
      <c r="D236" s="2"/>
      <c r="F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2:40">
      <c r="B237" s="2"/>
      <c r="D237" s="2"/>
      <c r="F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2:40">
      <c r="B238" s="2"/>
      <c r="D238" s="2"/>
      <c r="F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2:40">
      <c r="B239" s="2"/>
      <c r="D239" s="2"/>
      <c r="F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2:40">
      <c r="B240" s="2"/>
      <c r="D240" s="2"/>
      <c r="F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2:40">
      <c r="B241" s="2"/>
      <c r="D241" s="2"/>
      <c r="F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2:40">
      <c r="B242" s="2"/>
      <c r="D242" s="2"/>
      <c r="F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2:40">
      <c r="B243" s="2"/>
      <c r="D243" s="2"/>
      <c r="F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2:40">
      <c r="B244" s="2"/>
      <c r="D244" s="2"/>
      <c r="F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2:40">
      <c r="B245" s="2"/>
      <c r="D245" s="2"/>
      <c r="F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2:40">
      <c r="B246" s="2"/>
      <c r="D246" s="2"/>
      <c r="F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2:40">
      <c r="B247" s="2"/>
      <c r="D247" s="2"/>
      <c r="F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2:40">
      <c r="B248" s="2"/>
      <c r="D248" s="2"/>
      <c r="F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2:40">
      <c r="B249" s="2"/>
      <c r="D249" s="2"/>
      <c r="F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2:40">
      <c r="B250" s="2"/>
      <c r="D250" s="2"/>
      <c r="F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2:40">
      <c r="B251" s="2"/>
      <c r="D251" s="2"/>
      <c r="F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2:40">
      <c r="B252" s="2"/>
      <c r="D252" s="2"/>
      <c r="F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2:40">
      <c r="B253" s="2"/>
      <c r="D253" s="2"/>
      <c r="F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2:40">
      <c r="B254" s="2"/>
      <c r="D254" s="2"/>
      <c r="F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2:40">
      <c r="B255" s="2"/>
      <c r="D255" s="2"/>
      <c r="F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2:40">
      <c r="B256" s="2"/>
      <c r="D256" s="2"/>
      <c r="F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2:40">
      <c r="B257" s="2"/>
      <c r="D257" s="2"/>
      <c r="F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2:40">
      <c r="B258" s="2"/>
      <c r="D258" s="2"/>
      <c r="F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2:40">
      <c r="B259" s="2"/>
      <c r="D259" s="2"/>
      <c r="F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2:40">
      <c r="B260" s="2"/>
      <c r="D260" s="2"/>
      <c r="F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2:40">
      <c r="B261" s="2"/>
      <c r="D261" s="2"/>
      <c r="F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2:40">
      <c r="B262" s="2"/>
      <c r="D262" s="2"/>
      <c r="F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2:40">
      <c r="B263" s="2"/>
      <c r="D263" s="2"/>
      <c r="F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2:40">
      <c r="B264" s="2"/>
      <c r="D264" s="2"/>
      <c r="F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2:40">
      <c r="B265" s="2"/>
      <c r="D265" s="2"/>
      <c r="F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2:40">
      <c r="B266" s="2"/>
      <c r="D266" s="2"/>
      <c r="F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2:40">
      <c r="B267" s="2"/>
      <c r="D267" s="2"/>
      <c r="F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2:40">
      <c r="B268" s="2"/>
      <c r="D268" s="2"/>
      <c r="F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2:40">
      <c r="B269" s="2"/>
      <c r="D269" s="2"/>
      <c r="F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2:40">
      <c r="B270" s="2"/>
      <c r="D270" s="2"/>
      <c r="F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2:40">
      <c r="B271" s="2"/>
      <c r="D271" s="2"/>
      <c r="F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2:40">
      <c r="B272" s="2"/>
      <c r="D272" s="2"/>
      <c r="F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2:40">
      <c r="B273" s="2"/>
      <c r="D273" s="2"/>
      <c r="F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2:40">
      <c r="B274" s="2"/>
      <c r="D274" s="2"/>
      <c r="F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2:40">
      <c r="B275" s="2"/>
      <c r="D275" s="2"/>
      <c r="F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2:40">
      <c r="B276" s="2"/>
      <c r="D276" s="2"/>
      <c r="F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2:40">
      <c r="B277" s="2"/>
      <c r="D277" s="2"/>
      <c r="F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2:40">
      <c r="B278" s="2"/>
      <c r="D278" s="2"/>
      <c r="F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2:40">
      <c r="B279" s="2"/>
      <c r="D279" s="2"/>
      <c r="F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2:40">
      <c r="B280" s="2"/>
      <c r="D280" s="2"/>
      <c r="F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2:40">
      <c r="B281" s="2"/>
      <c r="D281" s="2"/>
      <c r="F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2:40">
      <c r="B282" s="2"/>
      <c r="D282" s="2"/>
      <c r="F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2:40">
      <c r="B283" s="2"/>
      <c r="D283" s="2"/>
      <c r="F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2:40">
      <c r="B284" s="2"/>
      <c r="D284" s="2"/>
      <c r="F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2:40">
      <c r="B285" s="2"/>
      <c r="D285" s="2"/>
      <c r="F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2:40">
      <c r="B286" s="2"/>
      <c r="D286" s="2"/>
      <c r="F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2:40">
      <c r="B287" s="2"/>
      <c r="D287" s="2"/>
      <c r="F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2:40">
      <c r="B288" s="2"/>
      <c r="D288" s="2"/>
      <c r="F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>
      <c r="B289" s="2"/>
      <c r="D289" s="2"/>
      <c r="F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>
      <c r="B290" s="2"/>
      <c r="D290" s="2"/>
      <c r="F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>
      <c r="B291" s="2"/>
      <c r="D291" s="2"/>
      <c r="F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>
      <c r="B292" s="2"/>
      <c r="D292" s="2"/>
      <c r="F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2:40">
      <c r="B293" s="2"/>
      <c r="D293" s="2"/>
      <c r="F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2:40">
      <c r="B294" s="2"/>
      <c r="D294" s="2"/>
      <c r="F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</sheetData>
  <sheetProtection password="C9FF" sheet="1" objects="1" scenarios="1"/>
  <mergeCells count="346">
    <mergeCell ref="D18:F18"/>
    <mergeCell ref="A21:A22"/>
    <mergeCell ref="B21:C21"/>
    <mergeCell ref="D21:E21"/>
    <mergeCell ref="F21:G21"/>
    <mergeCell ref="H21:H22"/>
    <mergeCell ref="A1:H1"/>
    <mergeCell ref="A4:B4"/>
    <mergeCell ref="D12:F12"/>
    <mergeCell ref="D13:F13"/>
    <mergeCell ref="D14:F14"/>
    <mergeCell ref="D17:F17"/>
    <mergeCell ref="P21:P22"/>
    <mergeCell ref="Q21:Q22"/>
    <mergeCell ref="R21:R22"/>
    <mergeCell ref="S21:S22"/>
    <mergeCell ref="T21:T22"/>
    <mergeCell ref="A23:A24"/>
    <mergeCell ref="F23:F24"/>
    <mergeCell ref="G23:G24"/>
    <mergeCell ref="H23:H24"/>
    <mergeCell ref="I23:J24"/>
    <mergeCell ref="I21:J22"/>
    <mergeCell ref="K21:K22"/>
    <mergeCell ref="L21:L22"/>
    <mergeCell ref="M21:M22"/>
    <mergeCell ref="N21:N22"/>
    <mergeCell ref="O21:O22"/>
    <mergeCell ref="Q23:Q24"/>
    <mergeCell ref="R23:R24"/>
    <mergeCell ref="S23:S24"/>
    <mergeCell ref="T23:T24"/>
    <mergeCell ref="N23:N24"/>
    <mergeCell ref="O23:O24"/>
    <mergeCell ref="P23:P24"/>
    <mergeCell ref="A25:A26"/>
    <mergeCell ref="F25:F26"/>
    <mergeCell ref="G25:G26"/>
    <mergeCell ref="H25:H26"/>
    <mergeCell ref="I25:J26"/>
    <mergeCell ref="K25:K26"/>
    <mergeCell ref="K23:K24"/>
    <mergeCell ref="L23:L24"/>
    <mergeCell ref="M23:M24"/>
    <mergeCell ref="M27:M28"/>
    <mergeCell ref="R25:R26"/>
    <mergeCell ref="S25:S26"/>
    <mergeCell ref="T25:T26"/>
    <mergeCell ref="A27:A28"/>
    <mergeCell ref="F27:F28"/>
    <mergeCell ref="G27:G28"/>
    <mergeCell ref="H27:H28"/>
    <mergeCell ref="I27:J28"/>
    <mergeCell ref="K27:K28"/>
    <mergeCell ref="L27:L28"/>
    <mergeCell ref="L25:L26"/>
    <mergeCell ref="M25:M26"/>
    <mergeCell ref="N25:N26"/>
    <mergeCell ref="O25:O26"/>
    <mergeCell ref="P25:P26"/>
    <mergeCell ref="Q25:Q26"/>
    <mergeCell ref="S27:S28"/>
    <mergeCell ref="T27:T28"/>
    <mergeCell ref="N27:N28"/>
    <mergeCell ref="O27:O28"/>
    <mergeCell ref="P27:P28"/>
    <mergeCell ref="Q27:Q28"/>
    <mergeCell ref="R27:R28"/>
    <mergeCell ref="T29:T30"/>
    <mergeCell ref="A31:A32"/>
    <mergeCell ref="F31:F32"/>
    <mergeCell ref="G31:G32"/>
    <mergeCell ref="H31:H32"/>
    <mergeCell ref="I31:J32"/>
    <mergeCell ref="K31:K32"/>
    <mergeCell ref="L31:L32"/>
    <mergeCell ref="M31:M32"/>
    <mergeCell ref="N31:N32"/>
    <mergeCell ref="N29:N30"/>
    <mergeCell ref="O29:O30"/>
    <mergeCell ref="P29:P30"/>
    <mergeCell ref="Q29:Q30"/>
    <mergeCell ref="R29:R30"/>
    <mergeCell ref="S29:S30"/>
    <mergeCell ref="A29:A30"/>
    <mergeCell ref="F29:F30"/>
    <mergeCell ref="G29:G30"/>
    <mergeCell ref="H29:H30"/>
    <mergeCell ref="I29:J30"/>
    <mergeCell ref="K29:K30"/>
    <mergeCell ref="L29:L30"/>
    <mergeCell ref="M29:M30"/>
    <mergeCell ref="K33:K34"/>
    <mergeCell ref="S35:S36"/>
    <mergeCell ref="T35:T36"/>
    <mergeCell ref="O31:O32"/>
    <mergeCell ref="P31:P32"/>
    <mergeCell ref="Q31:Q32"/>
    <mergeCell ref="R31:R32"/>
    <mergeCell ref="S31:S32"/>
    <mergeCell ref="T31:T32"/>
    <mergeCell ref="N35:N36"/>
    <mergeCell ref="O35:O36"/>
    <mergeCell ref="P35:P36"/>
    <mergeCell ref="Q35:Q36"/>
    <mergeCell ref="R35:R36"/>
    <mergeCell ref="L37:L38"/>
    <mergeCell ref="M37:M38"/>
    <mergeCell ref="M35:M36"/>
    <mergeCell ref="R33:R34"/>
    <mergeCell ref="S33:S34"/>
    <mergeCell ref="T33:T34"/>
    <mergeCell ref="A35:A36"/>
    <mergeCell ref="F35:F36"/>
    <mergeCell ref="G35:G36"/>
    <mergeCell ref="H35:H36"/>
    <mergeCell ref="I35:J36"/>
    <mergeCell ref="K35:K36"/>
    <mergeCell ref="L35:L36"/>
    <mergeCell ref="L33:L34"/>
    <mergeCell ref="M33:M34"/>
    <mergeCell ref="N33:N34"/>
    <mergeCell ref="O33:O34"/>
    <mergeCell ref="P33:P34"/>
    <mergeCell ref="Q33:Q34"/>
    <mergeCell ref="A33:A34"/>
    <mergeCell ref="F33:F34"/>
    <mergeCell ref="G33:G34"/>
    <mergeCell ref="H33:H34"/>
    <mergeCell ref="I33:J34"/>
    <mergeCell ref="O39:O40"/>
    <mergeCell ref="P39:P40"/>
    <mergeCell ref="Q39:Q40"/>
    <mergeCell ref="R39:R40"/>
    <mergeCell ref="S39:S40"/>
    <mergeCell ref="T39:T40"/>
    <mergeCell ref="T37:T38"/>
    <mergeCell ref="A39:A40"/>
    <mergeCell ref="F39:F40"/>
    <mergeCell ref="G39:G40"/>
    <mergeCell ref="H39:H40"/>
    <mergeCell ref="I39:J40"/>
    <mergeCell ref="K39:K40"/>
    <mergeCell ref="L39:L40"/>
    <mergeCell ref="M39:M40"/>
    <mergeCell ref="N39:N40"/>
    <mergeCell ref="N37:N38"/>
    <mergeCell ref="O37:O38"/>
    <mergeCell ref="P37:P38"/>
    <mergeCell ref="Q37:Q38"/>
    <mergeCell ref="R37:R38"/>
    <mergeCell ref="S37:S38"/>
    <mergeCell ref="A37:A38"/>
    <mergeCell ref="F37:F38"/>
    <mergeCell ref="G37:G38"/>
    <mergeCell ref="H37:H38"/>
    <mergeCell ref="I37:J38"/>
    <mergeCell ref="K37:K38"/>
    <mergeCell ref="A43:A44"/>
    <mergeCell ref="F43:F44"/>
    <mergeCell ref="G43:G44"/>
    <mergeCell ref="H43:H44"/>
    <mergeCell ref="I43:J44"/>
    <mergeCell ref="K43:K44"/>
    <mergeCell ref="L43:L44"/>
    <mergeCell ref="L41:L42"/>
    <mergeCell ref="M41:M42"/>
    <mergeCell ref="A41:A42"/>
    <mergeCell ref="F41:F42"/>
    <mergeCell ref="G41:G42"/>
    <mergeCell ref="H41:H42"/>
    <mergeCell ref="I41:J42"/>
    <mergeCell ref="K41:K42"/>
    <mergeCell ref="H45:H46"/>
    <mergeCell ref="I45:J46"/>
    <mergeCell ref="K45:K46"/>
    <mergeCell ref="L45:L46"/>
    <mergeCell ref="M45:M46"/>
    <mergeCell ref="M43:M44"/>
    <mergeCell ref="R41:R42"/>
    <mergeCell ref="S41:S42"/>
    <mergeCell ref="T41:T42"/>
    <mergeCell ref="N41:N42"/>
    <mergeCell ref="O41:O42"/>
    <mergeCell ref="P41:P42"/>
    <mergeCell ref="Q41:Q42"/>
    <mergeCell ref="S43:S44"/>
    <mergeCell ref="T43:T44"/>
    <mergeCell ref="N43:N44"/>
    <mergeCell ref="O43:O44"/>
    <mergeCell ref="P43:P44"/>
    <mergeCell ref="Q43:Q44"/>
    <mergeCell ref="R43:R44"/>
    <mergeCell ref="T45:T46"/>
    <mergeCell ref="N45:N46"/>
    <mergeCell ref="O45:O46"/>
    <mergeCell ref="P45:P46"/>
    <mergeCell ref="O47:O48"/>
    <mergeCell ref="P47:P48"/>
    <mergeCell ref="Q47:Q48"/>
    <mergeCell ref="R47:R48"/>
    <mergeCell ref="K49:K50"/>
    <mergeCell ref="S51:S52"/>
    <mergeCell ref="T51:T52"/>
    <mergeCell ref="S47:S48"/>
    <mergeCell ref="T47:T48"/>
    <mergeCell ref="T49:T50"/>
    <mergeCell ref="R51:R52"/>
    <mergeCell ref="A47:A48"/>
    <mergeCell ref="F47:F48"/>
    <mergeCell ref="G47:G48"/>
    <mergeCell ref="H47:H48"/>
    <mergeCell ref="I47:J48"/>
    <mergeCell ref="K47:K48"/>
    <mergeCell ref="L47:L48"/>
    <mergeCell ref="M47:M48"/>
    <mergeCell ref="N47:N48"/>
    <mergeCell ref="Q45:Q46"/>
    <mergeCell ref="R45:R46"/>
    <mergeCell ref="S45:S46"/>
    <mergeCell ref="A45:A46"/>
    <mergeCell ref="F45:F46"/>
    <mergeCell ref="G45:G46"/>
    <mergeCell ref="L53:L54"/>
    <mergeCell ref="M53:M54"/>
    <mergeCell ref="M51:M52"/>
    <mergeCell ref="R49:R50"/>
    <mergeCell ref="S49:S50"/>
    <mergeCell ref="A51:A52"/>
    <mergeCell ref="F51:F52"/>
    <mergeCell ref="G51:G52"/>
    <mergeCell ref="H51:H52"/>
    <mergeCell ref="I51:J52"/>
    <mergeCell ref="K51:K52"/>
    <mergeCell ref="L51:L52"/>
    <mergeCell ref="L49:L50"/>
    <mergeCell ref="M49:M50"/>
    <mergeCell ref="N49:N50"/>
    <mergeCell ref="O49:O50"/>
    <mergeCell ref="P49:P50"/>
    <mergeCell ref="Q49:Q50"/>
    <mergeCell ref="A49:A50"/>
    <mergeCell ref="F49:F50"/>
    <mergeCell ref="G49:G50"/>
    <mergeCell ref="H49:H50"/>
    <mergeCell ref="I49:J50"/>
    <mergeCell ref="N51:N52"/>
    <mergeCell ref="O51:O52"/>
    <mergeCell ref="P51:P52"/>
    <mergeCell ref="Q51:Q52"/>
    <mergeCell ref="O55:O56"/>
    <mergeCell ref="P55:P56"/>
    <mergeCell ref="Q55:Q56"/>
    <mergeCell ref="R55:R56"/>
    <mergeCell ref="S55:S56"/>
    <mergeCell ref="T55:T56"/>
    <mergeCell ref="T53:T54"/>
    <mergeCell ref="A55:A56"/>
    <mergeCell ref="F55:F56"/>
    <mergeCell ref="G55:G56"/>
    <mergeCell ref="H55:H56"/>
    <mergeCell ref="I55:J56"/>
    <mergeCell ref="K55:K56"/>
    <mergeCell ref="L55:L56"/>
    <mergeCell ref="M55:M56"/>
    <mergeCell ref="N55:N56"/>
    <mergeCell ref="N53:N54"/>
    <mergeCell ref="O53:O54"/>
    <mergeCell ref="P53:P54"/>
    <mergeCell ref="Q53:Q54"/>
    <mergeCell ref="R53:R54"/>
    <mergeCell ref="S53:S54"/>
    <mergeCell ref="A53:A54"/>
    <mergeCell ref="F53:F54"/>
    <mergeCell ref="G53:G54"/>
    <mergeCell ref="H53:H54"/>
    <mergeCell ref="I53:J54"/>
    <mergeCell ref="K53:K54"/>
    <mergeCell ref="S57:S58"/>
    <mergeCell ref="T57:T58"/>
    <mergeCell ref="A59:A60"/>
    <mergeCell ref="F59:F60"/>
    <mergeCell ref="G59:G60"/>
    <mergeCell ref="H59:H60"/>
    <mergeCell ref="I59:J60"/>
    <mergeCell ref="K59:K60"/>
    <mergeCell ref="L59:L60"/>
    <mergeCell ref="L57:L58"/>
    <mergeCell ref="M57:M58"/>
    <mergeCell ref="N57:N58"/>
    <mergeCell ref="O57:O58"/>
    <mergeCell ref="P57:P58"/>
    <mergeCell ref="Q57:Q58"/>
    <mergeCell ref="A57:A58"/>
    <mergeCell ref="F57:F58"/>
    <mergeCell ref="G57:G58"/>
    <mergeCell ref="H57:H58"/>
    <mergeCell ref="I57:J58"/>
    <mergeCell ref="K57:K58"/>
    <mergeCell ref="S59:S60"/>
    <mergeCell ref="T59:T60"/>
    <mergeCell ref="B61:B62"/>
    <mergeCell ref="C61:G62"/>
    <mergeCell ref="H61:H62"/>
    <mergeCell ref="I61:J62"/>
    <mergeCell ref="K61:K62"/>
    <mergeCell ref="L61:L62"/>
    <mergeCell ref="M61:M62"/>
    <mergeCell ref="M59:M60"/>
    <mergeCell ref="R57:R58"/>
    <mergeCell ref="N59:N60"/>
    <mergeCell ref="O59:O60"/>
    <mergeCell ref="P59:P60"/>
    <mergeCell ref="Q59:Q60"/>
    <mergeCell ref="R59:R60"/>
    <mergeCell ref="S63:S64"/>
    <mergeCell ref="T63:T64"/>
    <mergeCell ref="T61:T62"/>
    <mergeCell ref="A63:A64"/>
    <mergeCell ref="B63:B64"/>
    <mergeCell ref="C63:G64"/>
    <mergeCell ref="H63:H64"/>
    <mergeCell ref="I63:J64"/>
    <mergeCell ref="K63:K64"/>
    <mergeCell ref="L63:L64"/>
    <mergeCell ref="M63:M64"/>
    <mergeCell ref="N63:N64"/>
    <mergeCell ref="N61:N62"/>
    <mergeCell ref="O61:O62"/>
    <mergeCell ref="P61:P62"/>
    <mergeCell ref="Q61:Q62"/>
    <mergeCell ref="R61:R62"/>
    <mergeCell ref="S61:S62"/>
    <mergeCell ref="A61:A62"/>
    <mergeCell ref="M73:O73"/>
    <mergeCell ref="M75:O75"/>
    <mergeCell ref="M66:O66"/>
    <mergeCell ref="M68:O68"/>
    <mergeCell ref="M69:O69"/>
    <mergeCell ref="Q69:R69"/>
    <mergeCell ref="M71:O71"/>
    <mergeCell ref="M72:O72"/>
    <mergeCell ref="O63:O64"/>
    <mergeCell ref="P63:P64"/>
    <mergeCell ref="Q63:Q64"/>
    <mergeCell ref="R63:R64"/>
  </mergeCells>
  <dataValidations count="1">
    <dataValidation type="list" allowBlank="1" showInputMessage="1" showErrorMessage="1" sqref="S23 S27:S60 S25">
      <formula1>$A$77:$A$95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Site Data</vt:lpstr>
      <vt:lpstr>Public ROW</vt:lpstr>
      <vt:lpstr>D.A. 1</vt:lpstr>
      <vt:lpstr>D.A. 2</vt:lpstr>
      <vt:lpstr>D.A. 3</vt:lpstr>
      <vt:lpstr>D.A. 4</vt:lpstr>
      <vt:lpstr>D.A. 5</vt:lpstr>
      <vt:lpstr>D.A. 6</vt:lpstr>
      <vt:lpstr>D.A. 7</vt:lpstr>
      <vt:lpstr>D.A. 8</vt:lpstr>
      <vt:lpstr>D.A. 9</vt:lpstr>
      <vt:lpstr>D.A. 10</vt:lpstr>
      <vt:lpstr>Compliance</vt:lpstr>
      <vt:lpstr>Channel and Flood Protection</vt:lpstr>
      <vt:lpstr>'D.A. 1'!Print_Area</vt:lpstr>
      <vt:lpstr>'D.A. 2'!Print_Area</vt:lpstr>
      <vt:lpstr>'D.A. 3'!Print_Area</vt:lpstr>
      <vt:lpstr>'D.A. 4'!Print_Area</vt:lpstr>
      <vt:lpstr>'D.A. 5'!Print_Area</vt:lpstr>
    </vt:vector>
  </TitlesOfParts>
  <Company>Hirschman Water &amp; Environment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Greg Hoffmann</cp:lastModifiedBy>
  <cp:lastPrinted>2010-05-25T15:30:42Z</cp:lastPrinted>
  <dcterms:created xsi:type="dcterms:W3CDTF">2008-01-28T21:38:32Z</dcterms:created>
  <dcterms:modified xsi:type="dcterms:W3CDTF">2014-02-10T16:50:45Z</dcterms:modified>
</cp:coreProperties>
</file>